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6.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7.xml" ContentType="application/vnd.openxmlformats-officedocument.drawingml.chartshape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8.xml" ContentType="application/vnd.openxmlformats-officedocument.drawingml.chartshapes+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9.xml" ContentType="application/vnd.openxmlformats-officedocument.drawingml.chartshapes+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10.xml" ContentType="application/vnd.openxmlformats-officedocument.drawingml.chartshapes+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1.xml" ContentType="application/vnd.openxmlformats-officedocument.drawingml.chartshapes+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2.xml" ContentType="application/vnd.openxmlformats-officedocument.drawingml.chartshapes+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3.xml" ContentType="application/vnd.openxmlformats-officedocument.drawingml.chartshapes+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4.xml" ContentType="application/vnd.openxmlformats-officedocument.drawingml.chartshapes+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15.xml" ContentType="application/vnd.openxmlformats-officedocument.drawingml.chartshapes+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16.xml" ContentType="application/vnd.openxmlformats-officedocument.drawingml.chartshapes+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17.xml" ContentType="application/vnd.openxmlformats-officedocument.drawingml.chartshapes+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18.xml" ContentType="application/vnd.openxmlformats-officedocument.drawingml.chartshapes+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19.xml" ContentType="application/vnd.openxmlformats-officedocument.drawingml.chartshapes+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20.xml" ContentType="application/vnd.openxmlformats-officedocument.drawingml.chartshapes+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21.xml" ContentType="application/vnd.openxmlformats-officedocument.drawingml.chartshapes+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22.xml" ContentType="application/vnd.openxmlformats-officedocument.drawingml.chartshapes+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drawings/drawing23.xml" ContentType="application/vnd.openxmlformats-officedocument.drawingml.chartshapes+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24.xml" ContentType="application/vnd.openxmlformats-officedocument.drawingml.chartshapes+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25.xml" ContentType="application/vnd.openxmlformats-officedocument.drawingml.chartshapes+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drawings/drawing26.xml" ContentType="application/vnd.openxmlformats-officedocument.drawingml.chartshapes+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drawings/drawing27.xml" ContentType="application/vnd.openxmlformats-officedocument.drawingml.chartshapes+xml"/>
  <Override PartName="/xl/drawings/drawing28.xml" ContentType="application/vnd.openxmlformats-officedocument.drawing+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drawings/drawing29.xml" ContentType="application/vnd.openxmlformats-officedocument.drawingml.chartshapes+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drawings/drawing30.xml" ContentType="application/vnd.openxmlformats-officedocument.drawingml.chartshapes+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drawings/drawing31.xml" ContentType="application/vnd.openxmlformats-officedocument.drawingml.chartshapes+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drawings/drawing32.xml" ContentType="application/vnd.openxmlformats-officedocument.drawingml.chartshapes+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drawings/drawing33.xml" ContentType="application/vnd.openxmlformats-officedocument.drawingml.chartshapes+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drawings/drawing34.xml" ContentType="application/vnd.openxmlformats-officedocument.drawingml.chartshapes+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drawings/drawing35.xml" ContentType="application/vnd.openxmlformats-officedocument.drawingml.chartshapes+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drawings/drawing36.xml" ContentType="application/vnd.openxmlformats-officedocument.drawingml.chartshapes+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drawings/drawing37.xml" ContentType="application/vnd.openxmlformats-officedocument.drawingml.chartshapes+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drawings/drawing38.xml" ContentType="application/vnd.openxmlformats-officedocument.drawingml.chartshapes+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drawings/drawing39.xml" ContentType="application/vnd.openxmlformats-officedocument.drawingml.chartshapes+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drawings/drawing40.xml" ContentType="application/vnd.openxmlformats-officedocument.drawingml.chartshapes+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drawings/drawing41.xml" ContentType="application/vnd.openxmlformats-officedocument.drawingml.chartshapes+xml"/>
  <Override PartName="/xl/charts/chart38.xml" ContentType="application/vnd.openxmlformats-officedocument.drawingml.chart+xml"/>
  <Override PartName="/xl/charts/style38.xml" ContentType="application/vnd.ms-office.chartstyle+xml"/>
  <Override PartName="/xl/charts/colors38.xml" ContentType="application/vnd.ms-office.chartcolorstyle+xml"/>
  <Override PartName="/xl/drawings/drawing42.xml" ContentType="application/vnd.openxmlformats-officedocument.drawingml.chartshapes+xml"/>
  <Override PartName="/xl/charts/chart39.xml" ContentType="application/vnd.openxmlformats-officedocument.drawingml.chart+xml"/>
  <Override PartName="/xl/charts/style39.xml" ContentType="application/vnd.ms-office.chartstyle+xml"/>
  <Override PartName="/xl/charts/colors39.xml" ContentType="application/vnd.ms-office.chartcolorstyle+xml"/>
  <Override PartName="/xl/drawings/drawing43.xml" ContentType="application/vnd.openxmlformats-officedocument.drawingml.chartshapes+xml"/>
  <Override PartName="/xl/charts/chart40.xml" ContentType="application/vnd.openxmlformats-officedocument.drawingml.chart+xml"/>
  <Override PartName="/xl/charts/style40.xml" ContentType="application/vnd.ms-office.chartstyle+xml"/>
  <Override PartName="/xl/charts/colors40.xml" ContentType="application/vnd.ms-office.chartcolorstyle+xml"/>
  <Override PartName="/xl/drawings/drawing44.xml" ContentType="application/vnd.openxmlformats-officedocument.drawingml.chartshapes+xml"/>
  <Override PartName="/xl/charts/chart41.xml" ContentType="application/vnd.openxmlformats-officedocument.drawingml.chart+xml"/>
  <Override PartName="/xl/charts/style41.xml" ContentType="application/vnd.ms-office.chartstyle+xml"/>
  <Override PartName="/xl/charts/colors41.xml" ContentType="application/vnd.ms-office.chartcolorstyle+xml"/>
  <Override PartName="/xl/drawings/drawing45.xml" ContentType="application/vnd.openxmlformats-officedocument.drawingml.chartshapes+xml"/>
  <Override PartName="/xl/charts/chart42.xml" ContentType="application/vnd.openxmlformats-officedocument.drawingml.chart+xml"/>
  <Override PartName="/xl/charts/style42.xml" ContentType="application/vnd.ms-office.chartstyle+xml"/>
  <Override PartName="/xl/charts/colors42.xml" ContentType="application/vnd.ms-office.chartcolorstyle+xml"/>
  <Override PartName="/xl/drawings/drawing46.xml" ContentType="application/vnd.openxmlformats-officedocument.drawingml.chartshapes+xml"/>
  <Override PartName="/xl/charts/chart43.xml" ContentType="application/vnd.openxmlformats-officedocument.drawingml.chart+xml"/>
  <Override PartName="/xl/charts/style43.xml" ContentType="application/vnd.ms-office.chartstyle+xml"/>
  <Override PartName="/xl/charts/colors43.xml" ContentType="application/vnd.ms-office.chartcolorstyle+xml"/>
  <Override PartName="/xl/drawings/drawing47.xml" ContentType="application/vnd.openxmlformats-officedocument.drawingml.chartshapes+xml"/>
  <Override PartName="/xl/charts/chart44.xml" ContentType="application/vnd.openxmlformats-officedocument.drawingml.chart+xml"/>
  <Override PartName="/xl/charts/style44.xml" ContentType="application/vnd.ms-office.chartstyle+xml"/>
  <Override PartName="/xl/charts/colors44.xml" ContentType="application/vnd.ms-office.chartcolorstyle+xml"/>
  <Override PartName="/xl/drawings/drawing48.xml" ContentType="application/vnd.openxmlformats-officedocument.drawingml.chartshapes+xml"/>
  <Override PartName="/xl/charts/chart45.xml" ContentType="application/vnd.openxmlformats-officedocument.drawingml.chart+xml"/>
  <Override PartName="/xl/charts/style45.xml" ContentType="application/vnd.ms-office.chartstyle+xml"/>
  <Override PartName="/xl/charts/colors45.xml" ContentType="application/vnd.ms-office.chartcolorstyle+xml"/>
  <Override PartName="/xl/drawings/drawing49.xml" ContentType="application/vnd.openxmlformats-officedocument.drawingml.chartshapes+xml"/>
  <Override PartName="/xl/charts/chart46.xml" ContentType="application/vnd.openxmlformats-officedocument.drawingml.chart+xml"/>
  <Override PartName="/xl/charts/style46.xml" ContentType="application/vnd.ms-office.chartstyle+xml"/>
  <Override PartName="/xl/charts/colors46.xml" ContentType="application/vnd.ms-office.chartcolorstyle+xml"/>
  <Override PartName="/xl/drawings/drawing50.xml" ContentType="application/vnd.openxmlformats-officedocument.drawingml.chartshapes+xml"/>
  <Override PartName="/xl/charts/chart47.xml" ContentType="application/vnd.openxmlformats-officedocument.drawingml.chart+xml"/>
  <Override PartName="/xl/charts/style47.xml" ContentType="application/vnd.ms-office.chartstyle+xml"/>
  <Override PartName="/xl/charts/colors47.xml" ContentType="application/vnd.ms-office.chartcolorstyle+xml"/>
  <Override PartName="/xl/drawings/drawing51.xml" ContentType="application/vnd.openxmlformats-officedocument.drawingml.chartshapes+xml"/>
  <Override PartName="/xl/charts/chart48.xml" ContentType="application/vnd.openxmlformats-officedocument.drawingml.chart+xml"/>
  <Override PartName="/xl/charts/style48.xml" ContentType="application/vnd.ms-office.chartstyle+xml"/>
  <Override PartName="/xl/charts/colors48.xml" ContentType="application/vnd.ms-office.chartcolorstyle+xml"/>
  <Override PartName="/xl/drawings/drawing52.xml" ContentType="application/vnd.openxmlformats-officedocument.drawingml.chartshapes+xml"/>
  <Override PartName="/xl/charts/chart49.xml" ContentType="application/vnd.openxmlformats-officedocument.drawingml.chart+xml"/>
  <Override PartName="/xl/charts/style49.xml" ContentType="application/vnd.ms-office.chartstyle+xml"/>
  <Override PartName="/xl/charts/colors49.xml" ContentType="application/vnd.ms-office.chartcolorstyle+xml"/>
  <Override PartName="/xl/drawings/drawing53.xml" ContentType="application/vnd.openxmlformats-officedocument.drawingml.chartshapes+xml"/>
  <Override PartName="/xl/charts/chart50.xml" ContentType="application/vnd.openxmlformats-officedocument.drawingml.chart+xml"/>
  <Override PartName="/xl/charts/style50.xml" ContentType="application/vnd.ms-office.chartstyle+xml"/>
  <Override PartName="/xl/charts/colors50.xml" ContentType="application/vnd.ms-office.chartcolorstyle+xml"/>
  <Override PartName="/xl/drawings/drawing54.xml" ContentType="application/vnd.openxmlformats-officedocument.drawingml.chartshapes+xml"/>
  <Override PartName="/xl/charts/chart51.xml" ContentType="application/vnd.openxmlformats-officedocument.drawingml.chart+xml"/>
  <Override PartName="/xl/charts/style51.xml" ContentType="application/vnd.ms-office.chartstyle+xml"/>
  <Override PartName="/xl/charts/colors51.xml" ContentType="application/vnd.ms-office.chartcolorstyle+xml"/>
  <Override PartName="/xl/drawings/drawing55.xml" ContentType="application/vnd.openxmlformats-officedocument.drawingml.chartshapes+xml"/>
  <Override PartName="/xl/charts/chart52.xml" ContentType="application/vnd.openxmlformats-officedocument.drawingml.chart+xml"/>
  <Override PartName="/xl/charts/style52.xml" ContentType="application/vnd.ms-office.chartstyle+xml"/>
  <Override PartName="/xl/charts/colors52.xml" ContentType="application/vnd.ms-office.chartcolorstyle+xml"/>
  <Override PartName="/xl/drawings/drawing56.xml" ContentType="application/vnd.openxmlformats-officedocument.drawingml.chartshapes+xml"/>
  <Override PartName="/xl/charts/chart53.xml" ContentType="application/vnd.openxmlformats-officedocument.drawingml.chart+xml"/>
  <Override PartName="/xl/charts/style53.xml" ContentType="application/vnd.ms-office.chartstyle+xml"/>
  <Override PartName="/xl/charts/colors53.xml" ContentType="application/vnd.ms-office.chartcolorstyle+xml"/>
  <Override PartName="/xl/drawings/drawing57.xml" ContentType="application/vnd.openxmlformats-officedocument.drawingml.chartshapes+xml"/>
  <Override PartName="/xl/charts/chart54.xml" ContentType="application/vnd.openxmlformats-officedocument.drawingml.chart+xml"/>
  <Override PartName="/xl/charts/style54.xml" ContentType="application/vnd.ms-office.chartstyle+xml"/>
  <Override PartName="/xl/charts/colors54.xml" ContentType="application/vnd.ms-office.chartcolorstyle+xml"/>
  <Override PartName="/xl/drawings/drawing58.xml" ContentType="application/vnd.openxmlformats-officedocument.drawingml.chartshape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4"/>
  <workbookPr defaultThemeVersion="166925"/>
  <mc:AlternateContent xmlns:mc="http://schemas.openxmlformats.org/markup-compatibility/2006">
    <mc:Choice Requires="x15">
      <x15ac:absPath xmlns:x15ac="http://schemas.microsoft.com/office/spreadsheetml/2010/11/ac" url="C:\Users\vienvu\Downloads\"/>
    </mc:Choice>
  </mc:AlternateContent>
  <xr:revisionPtr revIDLastSave="88" documentId="13_ncr:1_{FE839294-356B-476B-BF1A-CC9E227AD6B8}" xr6:coauthVersionLast="47" xr6:coauthVersionMax="47" xr10:uidLastSave="{F212FAC8-CD49-48F1-A5F5-6FEF9F2207BF}"/>
  <bookViews>
    <workbookView xWindow="-120" yWindow="-120" windowWidth="29040" windowHeight="15720" firstSheet="1" activeTab="2" xr2:uid="{00000000-000D-0000-FFFF-FFFF00000000}"/>
  </bookViews>
  <sheets>
    <sheet name="Info" sheetId="15" r:id="rId1"/>
    <sheet name="Data Input" sheetId="1" r:id="rId2"/>
    <sheet name="Generated Report" sheetId="2" r:id="rId3"/>
    <sheet name="PROs" sheetId="5" r:id="rId4"/>
    <sheet name="Norms" sheetId="11" state="hidden" r:id="rId5"/>
    <sheet name="Reference" sheetId="9" state="hidden" r:id="rId6"/>
    <sheet name="Dropdown format" sheetId="10" state="hidden" r:id="rId7"/>
  </sheets>
  <definedNames>
    <definedName name="_xlnm.Criteria">INDEX(#REF!,MATCH(Norms!#REF!,#REF!,0))</definedName>
    <definedName name="Gauge1a">INDEX('Dropdown format'!$E$2:$E$6, MATCH('Generated Report'!$B$4,'Dropdown format'!$A$2:$A$6,0))</definedName>
    <definedName name="Gauge1b">INDEX('Dropdown format'!$I$2:$I$6, MATCH('Generated Report'!$B$4,'Dropdown format'!$A$2:$A$6,0))</definedName>
    <definedName name="Gauge2a">INDEX('Dropdown format'!$N$2:$N$6, MATCH('Generated Report'!$B$4,'Dropdown format'!$A$2:$A$6,0))</definedName>
    <definedName name="Gauge2b">INDEX('Dropdown format'!$R$2:$R$6, MATCH('Generated Report'!$B$4,'Dropdown format'!$A$2:$A$6,0))</definedName>
    <definedName name="Gauge3a">INDEX('Dropdown format'!$W$2:$W$6, MATCH('Generated Report'!$B$4,'Dropdown format'!$A$2:$A$6,0))</definedName>
    <definedName name="Gauge3b">INDEX('Dropdown format'!$AA$2:$AA$6, MATCH('Generated Report'!$B$4,'Dropdown format'!$A$2:$A$6,0))</definedName>
    <definedName name="Norm">INDEX(#REF!, MATCH(Norms!#REF!,#REF!,0))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3" i="10" l="1"/>
  <c r="T2" i="10"/>
  <c r="J28" i="9"/>
  <c r="J38" i="9"/>
  <c r="P3" i="10"/>
  <c r="P2" i="10"/>
  <c r="F69" i="1"/>
  <c r="F67" i="1"/>
  <c r="F66" i="1"/>
  <c r="F65" i="1"/>
  <c r="I60" i="1"/>
  <c r="I59" i="1"/>
  <c r="I58" i="1"/>
  <c r="AD14" i="9"/>
  <c r="AF8" i="9"/>
  <c r="AD23" i="9"/>
  <c r="Z13" i="9"/>
  <c r="I17" i="1"/>
  <c r="I16" i="1"/>
  <c r="H16" i="1"/>
  <c r="H17" i="1"/>
  <c r="J7" i="1"/>
  <c r="J8" i="1" s="1"/>
  <c r="J9" i="1" s="1"/>
  <c r="O74" i="1"/>
  <c r="M74" i="1"/>
  <c r="O60" i="1"/>
  <c r="M60" i="1"/>
  <c r="O45" i="1"/>
  <c r="M45" i="1"/>
  <c r="O30" i="1"/>
  <c r="M30" i="1"/>
  <c r="O15" i="1"/>
  <c r="M15" i="1"/>
  <c r="F71" i="1"/>
  <c r="F70" i="1"/>
  <c r="H36" i="1"/>
  <c r="J52" i="1"/>
  <c r="J51" i="1"/>
  <c r="J50" i="1"/>
  <c r="J60" i="1"/>
  <c r="J59" i="1"/>
  <c r="J58" i="1"/>
  <c r="AF11" i="9" l="1"/>
  <c r="J33" i="1" s="1"/>
  <c r="C7" i="2" l="1"/>
  <c r="C8" i="2"/>
  <c r="G7" i="2"/>
  <c r="G8" i="2"/>
  <c r="I7" i="2"/>
  <c r="I8" i="2"/>
  <c r="K7" i="2"/>
  <c r="P45" i="1"/>
  <c r="P3" i="1"/>
  <c r="Q7" i="2"/>
  <c r="AA7" i="2"/>
  <c r="AQ6" i="10"/>
  <c r="K56" i="2" s="1"/>
  <c r="AQ5" i="10"/>
  <c r="AQ4" i="10"/>
  <c r="C65" i="2"/>
  <c r="C63" i="2"/>
  <c r="B69" i="2"/>
  <c r="F59" i="2"/>
  <c r="F56" i="2"/>
  <c r="I53" i="2"/>
  <c r="H53" i="2"/>
  <c r="AH6" i="10"/>
  <c r="AH5" i="10"/>
  <c r="K59" i="2"/>
  <c r="K53" i="2"/>
  <c r="J59" i="2"/>
  <c r="J53" i="2"/>
  <c r="I59" i="2"/>
  <c r="H59" i="2"/>
  <c r="F35" i="2"/>
  <c r="AN6" i="10"/>
  <c r="AN5" i="10"/>
  <c r="AN4" i="10"/>
  <c r="AK6" i="10"/>
  <c r="AK5" i="10"/>
  <c r="AK4" i="10"/>
  <c r="AH4" i="10"/>
  <c r="K48" i="2"/>
  <c r="F68" i="1"/>
  <c r="J48" i="2" s="1"/>
  <c r="I48" i="2"/>
  <c r="H48" i="2"/>
  <c r="G48" i="2"/>
  <c r="AN2" i="10"/>
  <c r="AK3" i="10"/>
  <c r="AH3" i="10"/>
  <c r="I49" i="1"/>
  <c r="H49" i="1"/>
  <c r="J49" i="1" s="1"/>
  <c r="B116" i="9" s="1"/>
  <c r="I48" i="1"/>
  <c r="H48" i="1"/>
  <c r="H17" i="2"/>
  <c r="C18" i="2"/>
  <c r="C45" i="2"/>
  <c r="B44" i="2"/>
  <c r="C36" i="2"/>
  <c r="B35" i="2"/>
  <c r="C27" i="2"/>
  <c r="B26" i="2"/>
  <c r="J6" i="1"/>
  <c r="F11" i="2"/>
  <c r="J48" i="1" l="1"/>
  <c r="J56" i="2"/>
  <c r="AN3" i="10"/>
  <c r="AH2" i="10"/>
  <c r="H56" i="2" s="1"/>
  <c r="AK2" i="10"/>
  <c r="I56" i="2" s="1"/>
  <c r="H57" i="5"/>
  <c r="H58" i="5"/>
  <c r="H60" i="5"/>
  <c r="H59" i="5"/>
  <c r="G61" i="5"/>
  <c r="H61" i="5" s="1"/>
  <c r="M44" i="5"/>
  <c r="B48" i="2"/>
  <c r="B39" i="2"/>
  <c r="I37" i="1"/>
  <c r="Z8" i="9" s="1"/>
  <c r="Z12" i="9" s="1"/>
  <c r="Z15" i="9" s="1"/>
  <c r="H37" i="1"/>
  <c r="Z7" i="9" s="1"/>
  <c r="Z11" i="9" s="1"/>
  <c r="Z14" i="9" s="1"/>
  <c r="H42" i="1" s="1"/>
  <c r="B47" i="9" s="1"/>
  <c r="D47" i="9" s="1"/>
  <c r="I36" i="1"/>
  <c r="J36" i="1" s="1"/>
  <c r="I26" i="1"/>
  <c r="I24" i="1"/>
  <c r="I14" i="1"/>
  <c r="H14" i="1"/>
  <c r="I13" i="1"/>
  <c r="H13" i="1"/>
  <c r="I12" i="1"/>
  <c r="H12" i="1"/>
  <c r="AB13" i="9"/>
  <c r="AB22" i="9"/>
  <c r="AB9" i="9"/>
  <c r="C58" i="2"/>
  <c r="C54" i="2"/>
  <c r="B58" i="2"/>
  <c r="B54" i="2"/>
  <c r="B17" i="2"/>
  <c r="J35" i="2"/>
  <c r="H35" i="2"/>
  <c r="J26" i="2"/>
  <c r="H26" i="2"/>
  <c r="F26" i="2"/>
  <c r="J17" i="2"/>
  <c r="F17" i="2"/>
  <c r="I15" i="1" l="1"/>
  <c r="J14" i="1"/>
  <c r="J12" i="1"/>
  <c r="H15" i="1"/>
  <c r="J13" i="1"/>
  <c r="J37" i="1"/>
  <c r="I42" i="1"/>
  <c r="B57" i="9" s="1"/>
  <c r="D57" i="9" s="1"/>
  <c r="AD32" i="9"/>
  <c r="AD34" i="9"/>
  <c r="F10" i="2"/>
  <c r="T6" i="10"/>
  <c r="H26" i="1"/>
  <c r="J26" i="1" s="1"/>
  <c r="I25" i="1"/>
  <c r="H25" i="1"/>
  <c r="H24" i="1"/>
  <c r="J24" i="1" s="1"/>
  <c r="I23" i="1"/>
  <c r="AD18" i="9" s="1"/>
  <c r="H23" i="1"/>
  <c r="B21" i="2"/>
  <c r="H47" i="1"/>
  <c r="AB8" i="9"/>
  <c r="AB12" i="9" s="1"/>
  <c r="I40" i="1" s="1"/>
  <c r="I41" i="1" s="1"/>
  <c r="I22" i="1"/>
  <c r="H22" i="1"/>
  <c r="AC3" i="10" l="1"/>
  <c r="AC2" i="10"/>
  <c r="J47" i="9"/>
  <c r="Y3" i="10"/>
  <c r="Y2" i="10"/>
  <c r="J25" i="1"/>
  <c r="AD22" i="9"/>
  <c r="I30" i="1" s="1"/>
  <c r="AF18" i="9"/>
  <c r="I32" i="1" s="1"/>
  <c r="AD9" i="9"/>
  <c r="J22" i="1"/>
  <c r="AD17" i="9"/>
  <c r="J23" i="1"/>
  <c r="AD8" i="9"/>
  <c r="Z2" i="10" a="1"/>
  <c r="Z2" i="10" s="1"/>
  <c r="Z3" i="10" a="1"/>
  <c r="Z3" i="10" s="1"/>
  <c r="U3" i="10" a="1"/>
  <c r="U3" i="10" s="1"/>
  <c r="U2" i="10" a="1"/>
  <c r="U2" i="10" s="1"/>
  <c r="AD30" i="9"/>
  <c r="B30" i="2"/>
  <c r="AF30" i="9"/>
  <c r="B33" i="2"/>
  <c r="B76" i="9"/>
  <c r="D76" i="9" s="1"/>
  <c r="K6" i="10"/>
  <c r="L6" i="10" s="1" a="1"/>
  <c r="L6" i="10" s="1"/>
  <c r="B87" i="9"/>
  <c r="P6" i="10"/>
  <c r="Q6" i="10" s="1" a="1"/>
  <c r="Q6" i="10" s="1"/>
  <c r="B97" i="9"/>
  <c r="B51" i="2"/>
  <c r="AF34" i="9"/>
  <c r="B42" i="2"/>
  <c r="AF32" i="9"/>
  <c r="AF28" i="9"/>
  <c r="B24" i="2"/>
  <c r="AD28" i="9"/>
  <c r="J57" i="9"/>
  <c r="L57" i="9" s="1"/>
  <c r="AD3" i="10" a="1"/>
  <c r="AD3" i="10" s="1"/>
  <c r="J17" i="9"/>
  <c r="L17" i="9" s="1"/>
  <c r="AD2" i="10" a="1"/>
  <c r="AD2" i="10" s="1"/>
  <c r="AB7" i="9"/>
  <c r="Y5" i="10"/>
  <c r="Z5" i="10" s="1" a="1"/>
  <c r="Z5" i="10" s="1"/>
  <c r="AB16" i="9"/>
  <c r="AB20" i="9" s="1"/>
  <c r="H27" i="1"/>
  <c r="I27" i="1"/>
  <c r="R57" i="9" s="1"/>
  <c r="M33" i="5"/>
  <c r="M38" i="5"/>
  <c r="M32" i="5"/>
  <c r="M31" i="5"/>
  <c r="AF12" i="9" l="1"/>
  <c r="H31" i="1" s="1"/>
  <c r="AD12" i="9"/>
  <c r="H29" i="1" s="1"/>
  <c r="AD21" i="9"/>
  <c r="H30" i="1" s="1"/>
  <c r="AF17" i="9"/>
  <c r="H32" i="1" s="1"/>
  <c r="AD13" i="9"/>
  <c r="I29" i="1" s="1"/>
  <c r="AF13" i="9"/>
  <c r="I31" i="1" s="1"/>
  <c r="AB11" i="9"/>
  <c r="H40" i="1" s="1"/>
  <c r="H41" i="1" s="1"/>
  <c r="U6" i="10" a="1"/>
  <c r="U6" i="10" s="1"/>
  <c r="R38" i="9"/>
  <c r="T4" i="10"/>
  <c r="U4" i="10" s="1" a="1"/>
  <c r="U4" i="10" s="1"/>
  <c r="R47" i="9"/>
  <c r="T47" i="9" s="1"/>
  <c r="Y4" i="10"/>
  <c r="Z4" i="10" s="1" a="1"/>
  <c r="Z4" i="10" s="1"/>
  <c r="D116" i="9"/>
  <c r="AC6" i="10"/>
  <c r="AD6" i="10" s="1" a="1"/>
  <c r="AD6" i="10" s="1"/>
  <c r="B106" i="9"/>
  <c r="D106" i="9" s="1"/>
  <c r="Y6" i="10"/>
  <c r="Z6" i="10" s="1" a="1"/>
  <c r="Z6" i="10" s="1"/>
  <c r="K2" i="10"/>
  <c r="L2" i="10" s="1" a="1"/>
  <c r="L2" i="10" s="1"/>
  <c r="R28" i="9"/>
  <c r="T28" i="9" s="1"/>
  <c r="P4" i="10"/>
  <c r="Q4" i="10" s="1" a="1"/>
  <c r="Q4" i="10" s="1"/>
  <c r="R17" i="9"/>
  <c r="T17" i="9" s="1"/>
  <c r="K4" i="10"/>
  <c r="L4" i="10" s="1" a="1"/>
  <c r="L4" i="10" s="1"/>
  <c r="T57" i="9"/>
  <c r="AC4" i="10"/>
  <c r="AD4" i="10" s="1" a="1"/>
  <c r="AD4" i="10" s="1"/>
  <c r="R9" i="9"/>
  <c r="T9" i="9" s="1"/>
  <c r="G4" i="10"/>
  <c r="H4" i="10" s="1" a="1"/>
  <c r="H4" i="10" s="1"/>
  <c r="L47" i="9"/>
  <c r="K3" i="10"/>
  <c r="L3" i="10" s="1" a="1"/>
  <c r="L3" i="10" s="1"/>
  <c r="J9" i="9"/>
  <c r="L9" i="9" s="1"/>
  <c r="G3" i="10"/>
  <c r="H3" i="10" s="1" a="1"/>
  <c r="H3" i="10" s="1"/>
  <c r="G2" i="10"/>
  <c r="H2" i="10" s="1" a="1"/>
  <c r="H2" i="10" s="1"/>
  <c r="D87" i="9"/>
  <c r="G35" i="5"/>
  <c r="H35" i="5" s="1"/>
  <c r="H34" i="5"/>
  <c r="H33" i="5"/>
  <c r="H32" i="5"/>
  <c r="B38" i="5"/>
  <c r="C38" i="5" s="1"/>
  <c r="C35" i="5"/>
  <c r="C36" i="5"/>
  <c r="C37" i="5"/>
  <c r="G52" i="5"/>
  <c r="H52" i="5" s="1"/>
  <c r="H51" i="5"/>
  <c r="H50" i="5"/>
  <c r="H49" i="5"/>
  <c r="G26" i="5"/>
  <c r="H26" i="5" s="1"/>
  <c r="H25" i="5"/>
  <c r="H24" i="5"/>
  <c r="H23" i="5"/>
  <c r="H22" i="5"/>
  <c r="H21" i="5"/>
  <c r="G16" i="5"/>
  <c r="H16" i="5" s="1"/>
  <c r="H15" i="5"/>
  <c r="H14" i="5"/>
  <c r="H13" i="5"/>
  <c r="H12" i="5"/>
  <c r="H11" i="5"/>
  <c r="B48" i="5"/>
  <c r="C48" i="5" s="1"/>
  <c r="B23" i="5"/>
  <c r="C23" i="5" s="1"/>
  <c r="B13" i="5"/>
  <c r="C13" i="5" s="1"/>
  <c r="L28" i="9" l="1"/>
  <c r="I41" i="2"/>
  <c r="H41" i="2"/>
  <c r="C12" i="5"/>
  <c r="Q3" i="10" l="1" a="1"/>
  <c r="Q3" i="10" s="1"/>
  <c r="Q2" i="10" a="1"/>
  <c r="Q2" i="10" s="1"/>
  <c r="I47" i="1"/>
  <c r="J47" i="1" s="1"/>
  <c r="B68" i="9" l="1"/>
  <c r="D68" i="9" s="1"/>
  <c r="G6" i="10"/>
  <c r="H6" i="10" s="1" a="1"/>
  <c r="H6" i="10" s="1"/>
  <c r="C54" i="5" l="1"/>
  <c r="C29" i="5"/>
  <c r="C22" i="5"/>
  <c r="C21" i="5"/>
  <c r="C20" i="5"/>
  <c r="C19" i="5"/>
  <c r="C18" i="5"/>
  <c r="H41" i="5"/>
  <c r="AB17" i="9" l="1"/>
  <c r="AB21" i="9" s="1"/>
  <c r="P5" i="10" l="1"/>
  <c r="Q5" i="10" s="1" a="1"/>
  <c r="Q5" i="10" s="1"/>
  <c r="B28" i="9"/>
  <c r="D28" i="9" s="1"/>
  <c r="M24" i="5"/>
  <c r="M15" i="5"/>
  <c r="M10" i="5"/>
  <c r="C11" i="5"/>
  <c r="C10" i="5"/>
  <c r="C47" i="5"/>
  <c r="C46" i="5"/>
  <c r="H32" i="2" l="1"/>
  <c r="I32" i="2"/>
  <c r="B9" i="9"/>
  <c r="D9" i="9" s="1"/>
  <c r="G5" i="10"/>
  <c r="B17" i="9"/>
  <c r="D17" i="9" s="1"/>
  <c r="K5" i="10"/>
  <c r="H23" i="2" l="1"/>
  <c r="H5" i="10" a="1"/>
  <c r="H5" i="10" s="1"/>
  <c r="I23" i="2" s="1"/>
  <c r="J23" i="2"/>
  <c r="L5" i="10" a="1"/>
  <c r="L5" i="10" s="1"/>
  <c r="K23" i="2" s="1"/>
  <c r="L38" i="9" l="1"/>
  <c r="D97" i="9"/>
  <c r="T38" i="9"/>
  <c r="AC5" i="10" l="1"/>
  <c r="AD5" i="10" s="1" a="1"/>
  <c r="AD5" i="10" s="1"/>
  <c r="J41" i="2" l="1"/>
  <c r="K41" i="2"/>
  <c r="K8" i="2"/>
  <c r="B38" i="9" l="1"/>
  <c r="D38" i="9" s="1"/>
  <c r="T5" i="10"/>
  <c r="U5" i="10" l="1" a="1"/>
  <c r="U5" i="10" s="1"/>
  <c r="K32" i="2" s="1"/>
  <c r="J32"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<sst xmlns="http://schemas.openxmlformats.org/spreadsheetml/2006/main" count="718" uniqueCount="418">
  <si>
    <t>Return to Sport Cheat Sheet Tool Tutorial Video:</t>
  </si>
  <si>
    <t>https://youtu.be/EturQ61LT-A</t>
  </si>
  <si>
    <t>Return-to-Sport Tool Objectives</t>
  </si>
  <si>
    <t xml:space="preserve"> 4 Keys to Testing</t>
  </si>
  <si>
    <t>Donate</t>
  </si>
  <si>
    <r>
      <rPr>
        <b/>
        <sz val="12"/>
        <color rgb="FF000000"/>
        <rFont val="Arial"/>
        <family val="2"/>
      </rPr>
      <t>1. Encourage objective measurements:</t>
    </r>
    <r>
      <rPr>
        <sz val="12"/>
        <color rgb="FF000000"/>
        <rFont val="Arial"/>
        <family val="2"/>
      </rPr>
      <t xml:space="preserve"> Testing can be overwhelming with providers being unsure of what to test, what a "good" is, and how to get calculate things quickly. This tool serves to decrease those barriers to collective objective measurements.
</t>
    </r>
    <r>
      <rPr>
        <b/>
        <sz val="12"/>
        <color rgb="FF000000"/>
        <rFont val="Arial"/>
        <family val="2"/>
      </rPr>
      <t>2. Generate curiosity and encourage self-learning:</t>
    </r>
    <r>
      <rPr>
        <sz val="12"/>
        <color rgb="FF000000"/>
        <rFont val="Arial"/>
        <family val="2"/>
      </rPr>
      <t xml:space="preserve"> I teach in black and white so you can paint gray.</t>
    </r>
    <r>
      <rPr>
        <b/>
        <sz val="12"/>
        <color rgb="FF000000"/>
        <rFont val="Arial"/>
        <family val="2"/>
      </rPr>
      <t xml:space="preserve"> </t>
    </r>
    <r>
      <rPr>
        <sz val="12"/>
        <color rgb="FF000000"/>
        <rFont val="Arial"/>
        <family val="2"/>
      </rPr>
      <t xml:space="preserve">As you use this sheet, you may develop questions about papers, norms, or my testing batteries. You will certainly challenge my guidelines, available options, and recommendations. Mission accomplished. As you encounter these questions, I encourage you to look further and engage in literature reviews or even simply reading referenced studies to see nuance. 
</t>
    </r>
    <r>
      <rPr>
        <b/>
        <sz val="12"/>
        <color rgb="FF000000"/>
        <rFont val="Arial"/>
        <family val="2"/>
      </rPr>
      <t xml:space="preserve">3. Learning technical skills: </t>
    </r>
    <r>
      <rPr>
        <sz val="12"/>
        <color rgb="FF000000"/>
        <rFont val="Arial"/>
        <family val="2"/>
      </rPr>
      <t>This spreasheet is not perfect, and you may want to make your own. There are endless tutorials on the web and youtube to teach you how to build a spreadsheet and truly become proficient in microsoft excel. The same tools I used are available for everyone to learn.</t>
    </r>
  </si>
  <si>
    <r>
      <rPr>
        <b/>
        <sz val="12"/>
        <color rgb="FF000000"/>
        <rFont val="Arial"/>
        <family val="2"/>
      </rPr>
      <t>1. Handheld dynamometers and force plates are accurate and reliable, humans are not</t>
    </r>
    <r>
      <rPr>
        <sz val="12"/>
        <color rgb="FF000000"/>
        <rFont val="Arial"/>
        <family val="2"/>
      </rPr>
      <t xml:space="preserve">: Devices nowadays are very accurate and reliable. Where people will encounter errors is testing set up, instruction, and position. It is beneficial to look into principles of good testing procerdures. These answers can be found in research studies as well as many blogs and videos online.
</t>
    </r>
    <r>
      <rPr>
        <b/>
        <sz val="12"/>
        <color rgb="FF000000"/>
        <rFont val="Arial"/>
        <family val="2"/>
      </rPr>
      <t>2. Consistency is key</t>
    </r>
    <r>
      <rPr>
        <sz val="12"/>
        <color rgb="FF000000"/>
        <rFont val="Arial"/>
        <family val="2"/>
      </rPr>
      <t xml:space="preserve">: Consistency of collecting data will make you faster and proficient at using your data to help guide decisions as you learn nuances. In another context, consistency in set up is the most important aspect of reliability when testing each limb and testing across multiple sessions. There are dozens of ways to set up a test, just make sure you are consistent in the set up you choose.
</t>
    </r>
    <r>
      <rPr>
        <b/>
        <sz val="12"/>
        <color rgb="FF000000"/>
        <rFont val="Arial"/>
        <family val="2"/>
      </rPr>
      <t>3. Correlation is not causation</t>
    </r>
    <r>
      <rPr>
        <sz val="12"/>
        <color rgb="FF000000"/>
        <rFont val="Arial"/>
        <family val="2"/>
      </rPr>
      <t xml:space="preserve">: As you become more confident with data collection and decision making, you may begin putting too much weight on these numbers and view such data as causal or predictive. Causality and prediciton are very advanced statistical topics that we simply can't claim with many of these data points or referenced studies. Use objective measures to guide your decision, but be open to nuance and uncertainty.
</t>
    </r>
    <r>
      <rPr>
        <b/>
        <sz val="12"/>
        <color rgb="FF000000"/>
        <rFont val="Arial"/>
        <family val="2"/>
      </rPr>
      <t>4. Injuries are multifactoral.</t>
    </r>
    <r>
      <rPr>
        <sz val="12"/>
        <color rgb="FF000000"/>
        <rFont val="Arial"/>
        <family val="2"/>
      </rPr>
      <t xml:space="preserve"> This sheet just covers strength and functional tests, but rehabiliation should involve a comprehensive consideration of the many factors. Successful outcomes go beyond the numbers of this sheet. Keep that in mind as you help guide the individual in front of you.
 </t>
    </r>
  </si>
  <si>
    <r>
      <t xml:space="preserve">Just like the past tool, this will remain free. You are always welcome to donate any amount to me or the organizations I donate to: 
</t>
    </r>
    <r>
      <rPr>
        <b/>
        <sz val="12"/>
        <color rgb="FF000000"/>
        <rFont val="Arial"/>
        <family val="2"/>
      </rPr>
      <t>Vien's Venmo:</t>
    </r>
    <r>
      <rPr>
        <sz val="12"/>
        <color rgb="FF000000"/>
        <rFont val="Arial"/>
        <family val="2"/>
      </rPr>
      <t xml:space="preserve"> @vienvu
</t>
    </r>
    <r>
      <rPr>
        <b/>
        <sz val="12"/>
        <color rgb="FF000000"/>
        <rFont val="Arial"/>
        <family val="2"/>
      </rPr>
      <t>Vien's Zelle:</t>
    </r>
    <r>
      <rPr>
        <sz val="12"/>
        <color rgb="FF000000"/>
        <rFont val="Arial"/>
        <family val="2"/>
      </rPr>
      <t xml:space="preserve"> vienvu@gmail.com
</t>
    </r>
    <r>
      <rPr>
        <b/>
        <u/>
        <sz val="12"/>
        <color rgb="FF000000"/>
        <rFont val="Arial"/>
        <family val="2"/>
      </rPr>
      <t>Los Gatos Orthopedic and Sports Therpy Foundation</t>
    </r>
    <r>
      <rPr>
        <sz val="12"/>
        <color rgb="FF000000"/>
        <rFont val="Arial"/>
        <family val="2"/>
      </rPr>
      <t xml:space="preserve">
There is no licensure required for athletic trainers in California, and proper coverage in our community sports is not promised. LGOST foundation funds athletic trainers to cover high schools in my hometown in the Bay Area to ensure their is excellent care and safety at practices and games.
</t>
    </r>
    <r>
      <rPr>
        <b/>
        <u/>
        <sz val="12"/>
        <color rgb="FF000000"/>
        <rFont val="Arial"/>
        <family val="2"/>
      </rPr>
      <t>Volunteer-Outdoors (V-O)</t>
    </r>
    <r>
      <rPr>
        <sz val="12"/>
        <color rgb="FF000000"/>
        <rFont val="Arial"/>
        <family val="2"/>
      </rPr>
      <t xml:space="preserve">
Many people get injured doing recreational activities outside by hiking on uneven terrain or taking dangerous de-tours. V-O is a program of volunteers that spends their times making walkable pathways in parks and trails in the Bay Area. They have hand-flattened hundreds of miles of hiking trails and re-located trees and boulders to allow safe passage during outdoor activties.
</t>
    </r>
    <r>
      <rPr>
        <b/>
        <u/>
        <sz val="12"/>
        <color rgb="FF000000"/>
        <rFont val="Arial"/>
        <family val="2"/>
      </rPr>
      <t xml:space="preserve">PT in the Community
</t>
    </r>
    <r>
      <rPr>
        <sz val="12"/>
        <color rgb="FF000000"/>
        <rFont val="Arial"/>
        <family val="2"/>
      </rPr>
      <t xml:space="preserve">Each year, tens of thousands of physical therapists meet for the Combined Sections Meeting (CSM). PT in the community leaves a positive impact on each community we enter. During the week of CSM, they host educational classes on fitness and nutrtion, exercise classes at local facilities, donate clothes and sporting equipment to those who need them.
.
</t>
    </r>
  </si>
  <si>
    <t>Click Below to Donate:</t>
  </si>
  <si>
    <t>Link</t>
  </si>
  <si>
    <t>References</t>
  </si>
  <si>
    <r>
      <rPr>
        <b/>
        <sz val="10"/>
        <color rgb="FF000000"/>
        <rFont val="Arial"/>
        <family val="2"/>
      </rPr>
      <t xml:space="preserve">Arhos EK, Thoma LM, Grindem H, Logerstedt D, Risberg MA, Snyder-Mackler </t>
    </r>
    <r>
      <rPr>
        <sz val="10"/>
        <color rgb="FF000000"/>
        <rFont val="Arial"/>
        <family val="2"/>
      </rPr>
      <t xml:space="preserve">L. Association of Quadriceps Strength Symmetry and Surgical Status With Clinical Osteoarthritis Five Years After Anterior Cruciate Ligament Rupture. Arthritis Care Res (Hoboken). 2022 Mar;74(3):386-391. doi: 10.1002/acr.24479. Epub 2022 Jan 19. PMID: 33026698; PMCID: PMC8024414.
</t>
    </r>
    <r>
      <rPr>
        <b/>
        <sz val="10"/>
        <color rgb="FF000000"/>
        <rFont val="Arial"/>
        <family val="2"/>
      </rPr>
      <t>Arundale AJH, Capin JJ, Zarzycki R, Smith AH, Snyder-Mackler L</t>
    </r>
    <r>
      <rPr>
        <sz val="10"/>
        <color rgb="FF000000"/>
        <rFont val="Arial"/>
        <family val="2"/>
      </rPr>
      <t xml:space="preserve">. TWO YEAR ACL REINJURY RATE OF 2.5%: OUTCOMES REPORT OF THE MEN IN A SECONDARY ACL INJURY PREVENTION PROGRAM (ACL-SPORTS). Int J Sports Phys Ther. 2018 Jun;13(3):422-431. PMID: 30038828; PMCID: PMC6044585.
</t>
    </r>
    <r>
      <rPr>
        <b/>
        <sz val="10"/>
        <color rgb="FF000000"/>
        <rFont val="Arial"/>
        <family val="2"/>
      </rPr>
      <t>Bishop, Chris PhD1; Turner, Anthony PhD1; Jordan, Matt PhD2; Harry, John PhD3; Loturco, Irineu PhD4; Lake, Jason PhD5; Comfort, Paul PhD6</t>
    </r>
    <r>
      <rPr>
        <sz val="10"/>
        <color rgb="FF000000"/>
        <rFont val="Arial"/>
        <family val="2"/>
      </rPr>
      <t xml:space="preserve">. A Framework to Guide Practitioners for Selecting Metrics During the Countermovement and Drop Jump Tests. Strength and Conditioning Journal 44(4):p 95-103, August 2022. | DOI: 10.1519/SSC.0000000000000677 
</t>
    </r>
    <r>
      <rPr>
        <b/>
        <sz val="10"/>
        <color rgb="FF000000"/>
        <rFont val="Arial"/>
        <family val="2"/>
      </rPr>
      <t>Collings TJ, Diamond LE, Barrett RS, Timmins RG, Hickey JT, du Moulin WS, Gonçalves BAM, Cooper C, Bourne MN.</t>
    </r>
    <r>
      <rPr>
        <sz val="10"/>
        <color rgb="FF000000"/>
        <rFont val="Arial"/>
        <family val="2"/>
      </rPr>
      <t xml:space="preserve"> Impact of prior anterior cruciate ligament, hamstring or groin injury on lower limb strength and jump kinetics in elite female footballers. Phys Ther Sport. 2021 Nov;52:297-304. doi: 10.1016/j.ptsp.2021.10.009. Epub 2021 Oct 19. PMID: 34742028.
</t>
    </r>
    <r>
      <rPr>
        <b/>
        <sz val="10"/>
        <color rgb="FF000000"/>
        <rFont val="Arial"/>
        <family val="2"/>
      </rPr>
      <t>Drummond Junior M, Popchak A, Wilson K, Kane G, Lin A</t>
    </r>
    <r>
      <rPr>
        <sz val="10"/>
        <color rgb="FF000000"/>
        <rFont val="Arial"/>
        <family val="2"/>
      </rPr>
      <t xml:space="preserve">. Criteria-based return-to-sport testing is associated with lower recurrence rates following arthroscopic Bankart repair. J Shoulder Elbow Surg. 2021 Jul;30(7S):S14-S20. doi: 10.1016/j.jse.2021.03.141. Epub 2021 Mar 31. PMID: 33798726.
</t>
    </r>
    <r>
      <rPr>
        <b/>
        <sz val="10"/>
        <color rgb="FF000000"/>
        <rFont val="Arial"/>
        <family val="2"/>
      </rPr>
      <t>Garrison JC, Johnston C, Conway JE.</t>
    </r>
    <r>
      <rPr>
        <sz val="10"/>
        <color rgb="FF000000"/>
        <rFont val="Arial"/>
        <family val="2"/>
      </rPr>
      <t xml:space="preserve"> BASEBALL PLAYERS WITH ULNAR COLLATERAL LIGAMENT TEARS DEMONSTRATE DECREASED ROTATOR CUFF STRENGTH COMPARED TO HEALTHY CONTROLS. Int J Sports Phys Ther. 2015 Aug;10(4):476-81. PMID: 26346550; PMCID: PMC4527194.
</t>
    </r>
    <r>
      <rPr>
        <b/>
        <sz val="10"/>
        <color rgb="FF000000"/>
        <rFont val="Arial"/>
        <family val="2"/>
      </rPr>
      <t>Grindem H, Snyder-Mackler L, Moksnes H, Engebretsen L, Risberg MA.</t>
    </r>
    <r>
      <rPr>
        <sz val="10"/>
        <color rgb="FF000000"/>
        <rFont val="Arial"/>
        <family val="2"/>
      </rPr>
      <t xml:space="preserve"> Simple decision rules can reduce reinjury risk by 84% after ACL reconstruction: the Delaware-Oslo ACL cohort study. Br J Sports Med. 2016 Jul;50(13):804-8. doi: 10.1136/bjsports-2016-096031. Epub 2016 May 9. PMID: 27162233; PMCID: PMC4912389.
</t>
    </r>
    <r>
      <rPr>
        <b/>
        <sz val="10"/>
        <color rgb="FF000000"/>
        <rFont val="Arial"/>
        <family val="2"/>
      </rPr>
      <t>Kotsifaki R, Sideris V, King E, Bahr R, Whiteley R.</t>
    </r>
    <r>
      <rPr>
        <sz val="10"/>
        <color rgb="FF000000"/>
        <rFont val="Arial"/>
        <family val="2"/>
      </rPr>
      <t xml:space="preserve"> Performance and symmetry measures during vertical jump testing at return to sport after ACL reconstruction. Br J Sports Med. 2023 Oct;57(20):1304-1310. doi: 10.1136/bjsports-2022-106588. Epub 2023 Jun 1. PMID: 37263763.</t>
    </r>
    <r>
      <rPr>
        <b/>
        <sz val="10"/>
        <color rgb="FF000000"/>
        <rFont val="Arial"/>
        <family val="2"/>
      </rPr>
      <t xml:space="preserve">
Królikowska A, Mika A, Plaskota B, Daszkiewicz M, Kentel M, Kołcz A, Kentel M, Prill R, Diakowska D, Reichert P, Stolarczyk A, Oleksy Ł.</t>
    </r>
    <r>
      <rPr>
        <sz val="10"/>
        <color rgb="FF000000"/>
        <rFont val="Arial"/>
        <family val="2"/>
      </rPr>
      <t xml:space="preserve"> Reliability and Validity of the Athletic Shoulder (ASH) Test Performed Using Portable Isometric-Based Strength Training Device. Biology (Basel). 2022 Apr 11;11(4):577. doi: 10.3390/biology11040577. PMID: 35453777; PMCID: PMC9024613.
</t>
    </r>
    <r>
      <rPr>
        <b/>
        <sz val="10"/>
        <color rgb="FF000000"/>
        <rFont val="Arial"/>
        <family val="2"/>
      </rPr>
      <t xml:space="preserve">Ishøi L, Thorborg K, Kraemer O, Hölmich P. </t>
    </r>
    <r>
      <rPr>
        <sz val="10"/>
        <color rgb="FF000000"/>
        <rFont val="Arial"/>
        <family val="2"/>
      </rPr>
      <t xml:space="preserve">Return to Sport and Performance After Hip Arthroscopy for Femoroacetabular Impingement in 18- to 30-Year-Old Athletes: A Cross-sectional Cohort Study of 189 Athletes. Am J Sports Med. 2018 Sep;46(11):2578-2587. doi: 10.1177/0363546518789070. Epub 2018 Aug 1. PMID: 30067071.
</t>
    </r>
    <r>
      <rPr>
        <b/>
        <sz val="10"/>
        <color rgb="FF000000"/>
        <rFont val="Arial"/>
        <family val="2"/>
      </rPr>
      <t xml:space="preserve">Ishøi L, Thorborg K, Kemp JL, Reiman MP, Hölmich P. </t>
    </r>
    <r>
      <rPr>
        <sz val="10"/>
        <color rgb="FF000000"/>
        <rFont val="Arial"/>
        <family val="2"/>
      </rPr>
      <t xml:space="preserve">Maximal hip muscle strength and rate of torque development 6-30 months after hip arthroscopy for femoroacetabular impingement syndrome: A cross-sectional study. J Sci Med Sport. 2021 Nov;24(11):1110-1115. doi: 10.1016/j.jsams.2021.05.006. Epub 2021 May 18. PMID: 34119398.
</t>
    </r>
    <r>
      <rPr>
        <b/>
        <sz val="10"/>
        <color rgb="FF000000"/>
        <rFont val="Arial"/>
        <family val="2"/>
      </rPr>
      <t>Larson D, Lorenz D, Melton B.</t>
    </r>
    <r>
      <rPr>
        <sz val="10"/>
        <color rgb="FF000000"/>
        <rFont val="Arial"/>
        <family val="2"/>
      </rPr>
      <t xml:space="preserve"> Can Clinician-Stabilization with Hand-Held Dynamometry Yield a Reliable Measure of Knee Flexion Torque? Int J Sports Phys Ther. 2022 Oct 1;17(6):1095-1103. doi: 10.26603/001c.37907. PMID: 36237659; PMCID: PMC9528694.
</t>
    </r>
    <r>
      <rPr>
        <b/>
        <sz val="10"/>
        <color rgb="FF000000"/>
        <rFont val="Arial"/>
        <family val="2"/>
      </rPr>
      <t>Lee M, Lancaster M, Tulloch L, O'Leary B, Power E, Howes D, Sourbuts B, Berry A, Maher F, O'Neill S.</t>
    </r>
    <r>
      <rPr>
        <sz val="10"/>
        <color rgb="FF000000"/>
        <rFont val="Arial"/>
        <family val="2"/>
      </rPr>
      <t xml:space="preserve"> Normative isometric plantarflexion strength values for professional level, male rugby union athletes. Phys Ther Sport. 2023 May;61:114-121. doi: 10.1016/j.ptsp.2023.03.007. Epub 2023 Mar 25. PMID: 37003219.
</t>
    </r>
    <r>
      <rPr>
        <b/>
        <sz val="10"/>
        <color rgb="FF000000"/>
        <rFont val="Arial"/>
        <family val="2"/>
      </rPr>
      <t xml:space="preserve">Lesnak J, Anderson D, Farmer B, Katsavelis D, Grindstaff TL. </t>
    </r>
    <r>
      <rPr>
        <sz val="10"/>
        <color rgb="FF000000"/>
        <rFont val="Arial"/>
        <family val="2"/>
      </rPr>
      <t xml:space="preserve">VALIDITY OF HAND-HELD DYNAMOMETRY IN MEASURING QUADRICEPS STRENGTH AND RATE OF TORQUE DEVELOPMENT. Int J Sports Phys Ther. 2019 Apr;14(2):180-187. PMID: 30997270; PMCID: PMC6449009.
</t>
    </r>
    <r>
      <rPr>
        <b/>
        <sz val="10"/>
        <color rgb="FF000000"/>
        <rFont val="Arial"/>
        <family val="2"/>
      </rPr>
      <t>Martin RL, Cibulka MT, Bolgla LA, Koc TA Jr, Loudon JK, Manske RC, Weiss L, Christoforetti JJ, Heiderscheit BC.</t>
    </r>
    <r>
      <rPr>
        <sz val="10"/>
        <color rgb="FF000000"/>
        <rFont val="Arial"/>
        <family val="2"/>
      </rPr>
      <t xml:space="preserve"> Hamstring Strain Injury in Athletes. J Orthop Sports Phys Ther. 2022 Mar;52(3):CPG1-CPG44. doi: 10.2519/jospt.2022.0301. Epub 2022 Feb 14. PMID: 35164536.
</t>
    </r>
    <r>
      <rPr>
        <b/>
        <sz val="10"/>
        <color rgb="FF000000"/>
        <rFont val="Arial"/>
        <family val="2"/>
      </rPr>
      <t>Mendiguchia J, Martinez-Ruiz E, Edouard P, Morin JB, Martinez-Martinez F, Idoate F, Mendez-Villanueva A.</t>
    </r>
    <r>
      <rPr>
        <sz val="10"/>
        <color rgb="FF000000"/>
        <rFont val="Arial"/>
        <family val="2"/>
      </rPr>
      <t xml:space="preserve"> A Multifactorial, Criteria-based Progressive Algorithm for Hamstring Injury Treatment. Med Sci Sports Exerc. 2017 Jul;49(7):1482-1492. doi: 10.1249/MSS.0000000000001241. PMID: 28277402.
</t>
    </r>
    <r>
      <rPr>
        <b/>
        <sz val="10"/>
        <color rgb="FF000000"/>
        <rFont val="Arial"/>
        <family val="2"/>
      </rPr>
      <t>Nakaji RM, Ellenbecker TS, McClenahan KM, Roberts LM, Perez C, Dickenson SB.</t>
    </r>
    <r>
      <rPr>
        <sz val="10"/>
        <color rgb="FF000000"/>
        <rFont val="Arial"/>
        <family val="2"/>
      </rPr>
      <t xml:space="preserve"> Descriptive Strength and Range of Motion in Youth Baseball Players. Int J Sports Phys Ther. 2021 Feb 1;16(1):195-206. doi: 10.26603/001c.18815. PMID: 33604150; PMCID: PMC7872440.</t>
    </r>
    <r>
      <rPr>
        <b/>
        <sz val="10"/>
        <color rgb="FF000000"/>
        <rFont val="Arial"/>
        <family val="2"/>
      </rPr>
      <t xml:space="preserve">
Ness BM, Tao H, Javers D, Thielsen A, Tvedt H, Whitcher J, Zimney K.</t>
    </r>
    <r>
      <rPr>
        <sz val="10"/>
        <color rgb="FF000000"/>
        <rFont val="Arial"/>
        <family val="2"/>
      </rPr>
      <t xml:space="preserve"> DEVELOPMENT OF AN UPPER EXTREMITY 'SWING COUNT' and Performance Measures in NCAA Division I Volleyball Players over A COMPETITIVE SEASON. Int J Sports Phys Ther. 2019 Jul;14(4):582-591. PMID: 31440409; PMCID: PMC6670062.
</t>
    </r>
    <r>
      <rPr>
        <b/>
        <sz val="10"/>
        <color rgb="FF000000"/>
        <rFont val="Arial"/>
        <family val="2"/>
      </rPr>
      <t>Read PJ, Michael Auliffe S, Wilson MG, Graham-Smith P.</t>
    </r>
    <r>
      <rPr>
        <sz val="10"/>
        <color rgb="FF000000"/>
        <rFont val="Arial"/>
        <family val="2"/>
      </rPr>
      <t xml:space="preserve"> Lower Limb Kinetic Asymmetries in Professional Soccer Players With and Without Anterior Cruciate Ligament Reconstruction: Nine Months Is Not Enough Time to Restore "Functional" Symmetry or Return to Performance. Am J Sports Med. 2020 May;48(6):1365-1373. doi: 10.1177/0363546520912218. Epub 2020 Apr 15. PMID: 32293904.</t>
    </r>
    <r>
      <rPr>
        <b/>
        <sz val="10"/>
        <color rgb="FF000000"/>
        <rFont val="Arial"/>
        <family val="2"/>
      </rPr>
      <t xml:space="preserve">
Silbernagel KG, Nilsson-Helander K, Thomeé R, Eriksson BI, Karlsson J.</t>
    </r>
    <r>
      <rPr>
        <sz val="10"/>
        <color rgb="FF000000"/>
        <rFont val="Arial"/>
        <family val="2"/>
      </rPr>
      <t xml:space="preserve"> A new measurement of heel-rise endurance with the ability to detect functional deficits in patients with Achilles tendon rupture. Knee Surg Sports Traumatol Arthrosc. 2010 Feb;18(2):258-64. doi: 10.1007/s00167-009-0889-7. Epub 2009 Aug 19. PMID: 19690833.
</t>
    </r>
    <r>
      <rPr>
        <b/>
        <sz val="10"/>
        <color rgb="FF000000"/>
        <rFont val="Arial"/>
        <family val="2"/>
      </rPr>
      <t>Sinacore JA, Evans AM, Lynch BN, Joreitz RE, Irrgang JJ, Lynch AD</t>
    </r>
    <r>
      <rPr>
        <sz val="10"/>
        <color rgb="FF000000"/>
        <rFont val="Arial"/>
        <family val="2"/>
      </rPr>
      <t xml:space="preserve">. Diagnostic Accuracy of Handheld Dynamometry and 1-Repetition-Maximum Tests for Identifying Meaningful Quadriceps Strength Asymmetries. J Orthop Sports Phys Ther. 2017 Feb;47(2):97-107. doi: 10.2519/jospt.2017.6651. PMID: 28142362.
</t>
    </r>
    <r>
      <rPr>
        <b/>
        <sz val="10"/>
        <color rgb="FF000000"/>
        <rFont val="Arial"/>
        <family val="2"/>
      </rPr>
      <t>Thorborg K, Petersen J, Magnusson SP, Hölmich P.</t>
    </r>
    <r>
      <rPr>
        <sz val="10"/>
        <color rgb="FF000000"/>
        <rFont val="Arial"/>
        <family val="2"/>
      </rPr>
      <t xml:space="preserve"> Clinical assessment of hip strength using a hand-held dynamometer is reliable. Scand J Med Sci Sports. 2010 Jun;20(3):493-501. doi: 10.1111/j.1600-0838.2009.00958.x. Epub 2009 Jun 23. PMID: 19558384.
</t>
    </r>
    <r>
      <rPr>
        <b/>
        <sz val="10"/>
        <color rgb="FF000000"/>
        <rFont val="Arial"/>
        <family val="2"/>
      </rPr>
      <t xml:space="preserve">Trunt A, Fisher BT, MacFadden LN. </t>
    </r>
    <r>
      <rPr>
        <sz val="10"/>
        <color rgb="FF000000"/>
        <rFont val="Arial"/>
        <family val="2"/>
      </rPr>
      <t xml:space="preserve">Athletic Shoulder Test Differences Exist Bilaterally in Healthy Pitchers. Int J Sports Phys Ther. 2022 Jun 1;17(4):715-723. doi: 10.26603/001c.35722. PMID: 35693860; PMCID: PMC9159713.
</t>
    </r>
    <r>
      <rPr>
        <b/>
        <sz val="10"/>
        <color rgb="FF000000"/>
        <rFont val="Arial"/>
        <family val="2"/>
      </rPr>
      <t>Whiteley R, Jacobsen P, Prior S, Skazalski C, Otten R, Johnson A.</t>
    </r>
    <r>
      <rPr>
        <sz val="10"/>
        <color rgb="FF000000"/>
        <rFont val="Arial"/>
        <family val="2"/>
      </rPr>
      <t xml:space="preserve"> Correlation of isokinetic and novel hand-held dynamometry measures of knee flexion and extension strength testing. J Sci Med Sport. 2012 Sep;15(5):444-50. doi: 10.1016/j.jsams.2012.01.003. Epub 2012 Mar 15. PMID: 22424705.
</t>
    </r>
    <r>
      <rPr>
        <b/>
        <sz val="10"/>
        <color rgb="FF000000"/>
        <rFont val="Arial"/>
        <family val="2"/>
      </rPr>
      <t>van Melick N, van der Weegen W, van der Horst N.</t>
    </r>
    <r>
      <rPr>
        <sz val="10"/>
        <color rgb="FF000000"/>
        <rFont val="Arial"/>
        <family val="2"/>
      </rPr>
      <t xml:space="preserve"> Quadriceps and Hamstrings Strength Reference Values for Athletes With and Without Anterior Cruciate Ligament Reconstruction Who Play Popular Pivoting Sports, Including Soccer, Basketball, and Handball: A Scoping Review. J Orthop Sports Phys Ther. 2022 Mar;52(3):142-155. doi: 10.2519/jospt.2022.10693. Epub 2021 Dec 31. PMID: 34972481.
</t>
    </r>
    <r>
      <rPr>
        <b/>
        <sz val="10"/>
        <color rgb="FF000000"/>
        <rFont val="Arial"/>
        <family val="2"/>
      </rPr>
      <t>van Melick N, van der Weegen W, van der Horst N, Bogie R.</t>
    </r>
    <r>
      <rPr>
        <sz val="10"/>
        <color rgb="FF000000"/>
        <rFont val="Arial"/>
        <family val="2"/>
      </rPr>
      <t xml:space="preserve"> Double-Leg and Single-Leg Jump Test Reference Values for Athletes With and Without Anterior Cruciate Ligament Reconstruction Who Play Popular Pivoting Sports, Including Soccer and Basketball: A Scoping Review. J Orthop Sports Phys Ther. 2024 Jun;54(6):377-390. doi: 10.2519/jospt.2024.12374. PMID: 38506715.</t>
    </r>
  </si>
  <si>
    <t>RTS Testing Data Input</t>
  </si>
  <si>
    <t>Powered by:</t>
  </si>
  <si>
    <t>Recommendations and Norms for the</t>
  </si>
  <si>
    <t>Knee</t>
  </si>
  <si>
    <t>vienvudpt.com</t>
  </si>
  <si>
    <t>Meta-data</t>
  </si>
  <si>
    <t>Patient Info</t>
  </si>
  <si>
    <t>Surgical Day Count</t>
  </si>
  <si>
    <r>
      <rPr>
        <sz val="12"/>
        <color theme="0"/>
        <rFont val="Arial Nova"/>
        <family val="2"/>
      </rPr>
      <t>White cells = Enter Data</t>
    </r>
    <r>
      <rPr>
        <sz val="12"/>
        <color rgb="FFEE5A24"/>
        <rFont val="Arial Nova"/>
        <family val="2"/>
      </rPr>
      <t xml:space="preserve">
</t>
    </r>
    <r>
      <rPr>
        <sz val="12"/>
        <color theme="1" tint="0.499984740745262"/>
        <rFont val="Arial Nova"/>
        <family val="2"/>
      </rPr>
      <t>Grey Cells = Auto-populates once data is entered</t>
    </r>
    <r>
      <rPr>
        <sz val="12"/>
        <color theme="2" tint="-0.249977111117893"/>
        <rFont val="Arial Nova"/>
        <family val="2"/>
      </rPr>
      <t xml:space="preserve">
</t>
    </r>
    <r>
      <rPr>
        <sz val="12"/>
        <rFont val="Arial Nova"/>
        <family val="2"/>
      </rPr>
      <t xml:space="preserve">
</t>
    </r>
  </si>
  <si>
    <t>Name</t>
  </si>
  <si>
    <t>N/A</t>
  </si>
  <si>
    <t>Weight (lbs)</t>
  </si>
  <si>
    <t>DOS</t>
  </si>
  <si>
    <t>Sport</t>
  </si>
  <si>
    <t>Tested by</t>
  </si>
  <si>
    <t>Date Today</t>
  </si>
  <si>
    <t>Position</t>
  </si>
  <si>
    <t>Days since Surgery</t>
  </si>
  <si>
    <t>Age</t>
  </si>
  <si>
    <t>Weeks since surgery</t>
  </si>
  <si>
    <t>Injury</t>
  </si>
  <si>
    <t>Months since surgery</t>
  </si>
  <si>
    <t>Data Entry</t>
  </si>
  <si>
    <t>Shoulder Strength</t>
  </si>
  <si>
    <t>HHD Shoulder Calculator</t>
  </si>
  <si>
    <t>Involved Avg</t>
  </si>
  <si>
    <t>Uninvolved Avg</t>
  </si>
  <si>
    <t>LSI</t>
  </si>
  <si>
    <t>Functional/Additional Testing</t>
  </si>
  <si>
    <t>Functional/Additional Test 1</t>
  </si>
  <si>
    <t>Trial 1</t>
  </si>
  <si>
    <t>Trial 2</t>
  </si>
  <si>
    <t>Trial 3</t>
  </si>
  <si>
    <t>Scaption</t>
  </si>
  <si>
    <t>In Scaption (lbs)</t>
  </si>
  <si>
    <t>External Rotation</t>
  </si>
  <si>
    <t>Involved:</t>
  </si>
  <si>
    <t>Un Scaption (lbs)</t>
  </si>
  <si>
    <t>Internal Rotation</t>
  </si>
  <si>
    <t>Uninvolved:</t>
  </si>
  <si>
    <t>In ER (lbs)</t>
  </si>
  <si>
    <t>ER to IR ratio (%)</t>
  </si>
  <si>
    <t>Avg LSI:</t>
  </si>
  <si>
    <t>Peak LSI:</t>
  </si>
  <si>
    <t>Un ER (lbs)</t>
  </si>
  <si>
    <t>ER (%BW)</t>
  </si>
  <si>
    <t>Notes</t>
  </si>
  <si>
    <t>In IR (lbs)</t>
  </si>
  <si>
    <t>IR (%BW)</t>
  </si>
  <si>
    <t>Un IR (lbs)</t>
  </si>
  <si>
    <t>Patient weight (lbs)</t>
  </si>
  <si>
    <t>Hip Strength</t>
  </si>
  <si>
    <t>HHD Hip Calculator</t>
  </si>
  <si>
    <t>Abduction (lbs.)</t>
  </si>
  <si>
    <t>In Abduction (lbs)</t>
  </si>
  <si>
    <t>Adduction (lbs.)</t>
  </si>
  <si>
    <t>Un Abduction (lbs)</t>
  </si>
  <si>
    <t>External Rotation (lbs.)</t>
  </si>
  <si>
    <t>In Adduction (lbs)</t>
  </si>
  <si>
    <t>Internal Rotation (lbs.)</t>
  </si>
  <si>
    <t>Un Adduction (lbs)</t>
  </si>
  <si>
    <t>Flexion (lbs.)</t>
  </si>
  <si>
    <t>Functional/Additional Test 2</t>
  </si>
  <si>
    <t>Add to Abd ratio (%)</t>
  </si>
  <si>
    <t>Moment arm (cm)</t>
  </si>
  <si>
    <t>PT:BW Abduction (Nm/kg)</t>
  </si>
  <si>
    <t>&lt;Torque calculation assumes moment arm (femur or tibia) is angled 30 deg during test</t>
  </si>
  <si>
    <t>PT:BW Adduction (Nm/kg)</t>
  </si>
  <si>
    <t>In Flexion (lbs)</t>
  </si>
  <si>
    <t>PT:BW Abduction (N/kg)</t>
  </si>
  <si>
    <t>Un Flexion (lbs)</t>
  </si>
  <si>
    <t>PT:BW Adduction (N/kg)</t>
  </si>
  <si>
    <t>5 Second Squeeze Test (lbs);adjust moment arm above to distance from ASIS to medial malleoli</t>
  </si>
  <si>
    <t>PT:BW (Nm/kg)</t>
  </si>
  <si>
    <t>Knee Strength</t>
  </si>
  <si>
    <t>HHD Knee Calculator</t>
  </si>
  <si>
    <t>Knee Extension (lbs.)</t>
  </si>
  <si>
    <t>In Knee Extension (lbs)</t>
  </si>
  <si>
    <t>Knee Flexion (lbs.)</t>
  </si>
  <si>
    <t>Un Knee Extension (lbs)</t>
  </si>
  <si>
    <t>Moment arm (cm) (lateral femoral condyle to device)</t>
  </si>
  <si>
    <t>In Knee Flexion (lbs)</t>
  </si>
  <si>
    <t>Patient Weight (lbs)</t>
  </si>
  <si>
    <t>Un Knee Flexion (lbs)</t>
  </si>
  <si>
    <t>Knee Extension PT:BW (Nm/kg)</t>
  </si>
  <si>
    <t>Knee angle:</t>
  </si>
  <si>
    <t>Knee Extension PT:BW (%)</t>
  </si>
  <si>
    <t>Functional/Additional Test 3</t>
  </si>
  <si>
    <t>Hamstring PT:BW @ 90 (%)</t>
  </si>
  <si>
    <t>Ankle Strength</t>
  </si>
  <si>
    <t>HHD Ankle/Foot Calculator</t>
  </si>
  <si>
    <t>In Plantarflexion (lbs)</t>
  </si>
  <si>
    <t>Plantarflexion (lbs.)</t>
  </si>
  <si>
    <t>Un Plantarflexion (lbs)</t>
  </si>
  <si>
    <t>Eversion (lbs.)</t>
  </si>
  <si>
    <t>In Eversion (lbs)</t>
  </si>
  <si>
    <t>Inversion (lbs.)</t>
  </si>
  <si>
    <t>Un Eversion (lbs)</t>
  </si>
  <si>
    <t>Calf Raise Peak Height (cm)</t>
  </si>
  <si>
    <t>In Inversion (lbs)</t>
  </si>
  <si>
    <t>Calf Raise Positive Work (J)</t>
  </si>
  <si>
    <t>Un Inversion (lbs)</t>
  </si>
  <si>
    <t>Calf Raise Peak Power (W)</t>
  </si>
  <si>
    <t>Force Plate Tests</t>
  </si>
  <si>
    <t>ForcePlate Testing</t>
  </si>
  <si>
    <t>Lower Extremity (Counter Movement Jump)</t>
  </si>
  <si>
    <t>Upper Extremity (ASH Test)</t>
  </si>
  <si>
    <t>Functional/Additional Test 4</t>
  </si>
  <si>
    <t>Peak Power/BM (W/kg)</t>
  </si>
  <si>
    <t>Involved</t>
  </si>
  <si>
    <t>Uninvolved</t>
  </si>
  <si>
    <t>Involved %BW</t>
  </si>
  <si>
    <t>Braking or Eccentric Deceleration Impulse Asym (% side)</t>
  </si>
  <si>
    <t>I-Position (lbs)</t>
  </si>
  <si>
    <t>Propulsion or Concentric Impulse Asym (% side)</t>
  </si>
  <si>
    <t>Y-Position (lbs)</t>
  </si>
  <si>
    <t>Landing Impulse Asym (% side)</t>
  </si>
  <si>
    <t>T-Position (lbs)</t>
  </si>
  <si>
    <t xml:space="preserve"> Pattern:</t>
  </si>
  <si>
    <t>Basic Measures</t>
  </si>
  <si>
    <t>Limb Girth Measurements</t>
  </si>
  <si>
    <t xml:space="preserve">Patient Reported Outcome </t>
  </si>
  <si>
    <t>PRO 1 Name</t>
  </si>
  <si>
    <t>Score</t>
  </si>
  <si>
    <t>10" Above Joint line</t>
  </si>
  <si>
    <t>6" Above Joint line</t>
  </si>
  <si>
    <t>4" Above Joint line</t>
  </si>
  <si>
    <t>Joint Line</t>
  </si>
  <si>
    <t>PRO 2 Name</t>
  </si>
  <si>
    <t>6" Below Joint line</t>
  </si>
  <si>
    <t>Knee Extension</t>
  </si>
  <si>
    <t>ROM</t>
  </si>
  <si>
    <t>Functional/Additional Test 5</t>
  </si>
  <si>
    <t>Knee Flexion</t>
  </si>
  <si>
    <t>Assessment</t>
  </si>
  <si>
    <t>Interepretation of Results and Areas to Focus</t>
  </si>
  <si>
    <t>What is "Good" and/or "Normal"</t>
  </si>
  <si>
    <t>Injury Return to Sports Testing Report</t>
  </si>
  <si>
    <t>Strength Norms</t>
  </si>
  <si>
    <t>Force Plate Norms</t>
  </si>
  <si>
    <t>Name:</t>
  </si>
  <si>
    <t xml:space="preserve">Age: </t>
  </si>
  <si>
    <t>Weight (lb):</t>
  </si>
  <si>
    <t>Sport:</t>
  </si>
  <si>
    <t xml:space="preserve">Injury: </t>
  </si>
  <si>
    <t>Position:</t>
  </si>
  <si>
    <t xml:space="preserve">Date of Injury: </t>
  </si>
  <si>
    <t xml:space="preserve">Months Since Injury: </t>
  </si>
  <si>
    <t>To print: Highlight the area of the entire report, go to file, click print, change "print active sheets" to print "selection", then hit print.
To save as pdf: Do same as above, but change printer to "Microsoft Print to PDF".</t>
  </si>
  <si>
    <t>Although research is not sure these tests can predict getting hurt again, the tests are useful in seeing how you move, your willingness to move, and if you're fit for sport. Below shows your average score and your score at your best on tests selected by your provider.</t>
  </si>
  <si>
    <t>Peak LSI</t>
  </si>
  <si>
    <t>Average LSI</t>
  </si>
  <si>
    <t>Girth Measurements</t>
  </si>
  <si>
    <t>10" Above 
Joint line</t>
  </si>
  <si>
    <t>6" Above 
Joint line</t>
  </si>
  <si>
    <t>4" Above 
Joint line</t>
  </si>
  <si>
    <t xml:space="preserve"> Joint line</t>
  </si>
  <si>
    <t>6" Below 
Joint line</t>
  </si>
  <si>
    <t>% diff vs uninjured limb
Goal: &lt;=10%</t>
  </si>
  <si>
    <t>Force Plate Metrics</t>
  </si>
  <si>
    <t>Patient Reported Outcome Measure</t>
  </si>
  <si>
    <t>Assessed by:</t>
  </si>
  <si>
    <t>Date:</t>
  </si>
  <si>
    <t>Summary</t>
  </si>
  <si>
    <r>
      <rPr>
        <sz val="28"/>
        <color theme="0"/>
        <rFont val="Arial"/>
        <family val="2"/>
      </rPr>
      <t>Patient Reported Outcomes</t>
    </r>
    <r>
      <rPr>
        <sz val="16"/>
        <color theme="0"/>
        <rFont val="Arial"/>
        <family val="2"/>
      </rPr>
      <t xml:space="preserve"> (additional measures can be found at www.orthotoolkit.com)</t>
    </r>
  </si>
  <si>
    <t>KNEE</t>
  </si>
  <si>
    <t>HIP</t>
  </si>
  <si>
    <t>SPINE</t>
  </si>
  <si>
    <t>International Knee Disability Committee Scale (IKDC)</t>
  </si>
  <si>
    <t>Hip and Groin Outcome Score (HAGOS)</t>
  </si>
  <si>
    <t>Oswestry  Disability Index (ODI)</t>
  </si>
  <si>
    <t>Subscale</t>
  </si>
  <si>
    <t>Input Score Below</t>
  </si>
  <si>
    <t>% Disability</t>
  </si>
  <si>
    <t>Symptoms</t>
  </si>
  <si>
    <t>Total Score</t>
  </si>
  <si>
    <t>Sports Activities</t>
  </si>
  <si>
    <t>Functional and ADLs</t>
  </si>
  <si>
    <t>Pain</t>
  </si>
  <si>
    <t>Neck  Disability Index (NDI)</t>
  </si>
  <si>
    <t>Composite Score</t>
  </si>
  <si>
    <t>Function, Daily Living</t>
  </si>
  <si>
    <t>Sports</t>
  </si>
  <si>
    <t>Knee injury and Osteoarthritis Outcome Score (KOOS)</t>
  </si>
  <si>
    <t>Quality of Life</t>
  </si>
  <si>
    <t>FEAR/ACTIVITY/MISC.</t>
  </si>
  <si>
    <t>Symptoms + Stiffness</t>
  </si>
  <si>
    <t>Hip Disability Osteoarthritis Outcome Score (HOOS)</t>
  </si>
  <si>
    <t>Anterior Cruciate Ligament - Return to Sport After Injury (ACL-RSI)</t>
  </si>
  <si>
    <t>Function, sports and recreational activities</t>
  </si>
  <si>
    <t>% Score</t>
  </si>
  <si>
    <t>Lower Extremity Functional Scale (LEFS)</t>
  </si>
  <si>
    <t>Fear-Avoidance Beliefs Questionnaire (FABQ)</t>
  </si>
  <si>
    <t>Western Ontario and McMaster Universities Osteoarthritis Index (WOMAC)</t>
  </si>
  <si>
    <t>Work</t>
  </si>
  <si>
    <t>Physical Activity</t>
  </si>
  <si>
    <t>Stiffness</t>
  </si>
  <si>
    <t>Compsite Score</t>
  </si>
  <si>
    <t>Physical Function</t>
  </si>
  <si>
    <t>Tampa Scale Kinesiophobia (TSK-11)</t>
  </si>
  <si>
    <t>ANKLE/FOOT</t>
  </si>
  <si>
    <t>Hip - Return to Sport After Injury (Hip-RSI)</t>
  </si>
  <si>
    <t>Foot and Ankle Ability Measure (FAAM)</t>
  </si>
  <si>
    <t>SHOULDER</t>
  </si>
  <si>
    <t>ADLs</t>
  </si>
  <si>
    <t>QuickDASH</t>
  </si>
  <si>
    <t>Western Ontario Shoulder Instability Index (WOSI)</t>
  </si>
  <si>
    <t>Physical Symptoms</t>
  </si>
  <si>
    <t>Sports/Recreation/Work</t>
  </si>
  <si>
    <t>Lifestyle</t>
  </si>
  <si>
    <t>Emotion</t>
  </si>
  <si>
    <t>Shoulder</t>
  </si>
  <si>
    <t xml:space="preserve">Drummond et al, 2021 found that athletes were at a 5x greater risk of re-injury after anterior Bankart repair surgery compared to those who did not pass the below test battery:
72 high school athletes (53 males), various contact sports, 19.5 y/o
- Shoulder ER and IR LSI (isokinetics): &gt;90%
- Shoulder ER and IR LSI (isometric @ 0 and 90): &gt; 90%
- Closed Kinetic Chain Upper Extremity (CKCUEST): &gt;21 reps
- Seated shot put test LSI: &gt;90%; &gt;110% on dominant arm
Garrison et al, 2015 showed shoulder strength norms for healthy baseball players:
- 19.4 y/o, n = 33; 18 pitchers, 6 infielders, 6 outfielders
  - ER @ 0 LSI: 100%
  - IR @ 0 LSI: 101%
  - Non-dominant ER strength @ 0 (%BW): 15%
  - Dominant ER strength @ 0 (%BW): 15%
  - Non-dominant IR strength @ 0 (%BW): 22%
  - Dominant IR strength @ 0 (%BW): 22%
Ness et al, 2021 found that female collegiate indoor volleyball players had varied IR strength changes throughout their competitive season. Below are the normative values throughout the season:
- 5 D1 female indoor volleyball players
  - Dominant arm IR @ 90 strength (%BW): 22%-33%
  - Dominant arm ER @ 90 strength (%BW): 19%-21%
  - ER/IR @ 0 ratio: 70%-97%
Nakaji et al, 2021 measured shoulder strength of 50 youth baseball players age 5-12 and found the below values (%BW)
  - ER @ 0 LSI (dominant vs. Non-dominant): 106%
  - IR @ 0 LSI (dominant vs. Non-dominant): 115%
  - ER @ 90 LSI (dominant vs. Non-dominant): 98%
  - IR @ 90 LSI (dominant vs. Non-dominant): 109%
  - Non-dominant ER strength @ 0 (%BW): 12.9 
  - Dominant ER strength @ 0 (lbs): 13.6
  - Non-dominant IR strength @ 0 (lbs): 15.7
  - Dominant IR strength @ 0 (lbs): 18
  - Non-dominant ER strength @ 90 (lbs): 12.5
  - Dominant ER strength @ 90 (lbs): 12.3
  - Non-dominant IR strength @ 90 (lbs): 15
  - Dominant IR strength @ 90 (lbs): 16.4
  - Non-dominant ER/IR @ 0 (%): 82%
  - Dominant ER/IR @ 0 (%): 76%
  - Non-dominant ER/IR @ 90 (%): 83%
  - Dominant ER/IR @ 90 (%): 75%
</t>
  </si>
  <si>
    <t xml:space="preserve">Upper Extremity Force Plate Testing: Athletic Shoulder Test (ASH Test)
There are few, if any, published studies showing predictive values of the ASH test, however it is a closed chain test that produces strenous forces on the shoulder due to the long lever of the extended arm. In general, it is normal to be within 90% symmetrical. Additionally, this test can be done with a force plate or handheld dynamometer, however the scores between devices should not be compared due to reliability issues. Lastly, norms show that the I-position should be the strongest position, then the Y, then theTI. Below are norms in selected studies (%bodweight):
- Trunt et al, 2022: 35 male pitchers, 19.7 y/o, force plate
   - Dominant arm ~10% stronger than non-dominant
   - I-Position: 14.6%-15.2%
   - Y-Position:11.9% - 12.9%
   - T-Position: 12.4% - 13.0%
- Krolikowski et al, 2021: 24 females, 21.8 y/o, force plates
   - Dominant arm ~10% stronger than non-dominant
   - I-Position: 8%-9%
   - Y-Position:10%
   - T-Position: 9-10%
- Krolikowski et al, 2021: 24 females, 21.8 y/o, handheld dynamometer
   - Dominant arm ~10% stronger than non-dominant
   - I-Position: 7%-8%
   - Y-Position:10%-11%
   - T-Position: 9%-11%
- Krolikowski et al, 2021: 27 males, 23 y/o, force plates
   - Dominant arm ~10% stronger than non-dominant
   - I-Position: 9%-11%
   - Y-Position:6%-7%
   - T-Position: 6%-7%
- Krolikowski et al, 2021: 27 males, 23 y/o, handheld dynamometer
   - Dominant arm ~10% stronger than non-dominant
   - I-Position: 10%-11%
   - Y-Position:8%-9%
   - T-Position: 7%-7%
</t>
  </si>
  <si>
    <t>Elbow</t>
  </si>
  <si>
    <t>Elbow injuries are often common in overhead sports, and may be due to shoulder weakness. Additionally, the shoulders may weaken throughout the rehab process. For these reasons, it is common to assess shoulder strength even after elbow injuries.
Garrison et al, 2015 showed norms for healthy baseball players. Compared to those who underwent UCLR, the strength (compared to bodyweight was signficantly stronger in the healthy group:
- 19.4 y/o, n = 33; 18 pitchers, 6 infielders, 6 outfielders
  - ER @ 0 LSI: 100%
  - IR @ 0 LSI: 101%
  - Non-dominant ER strength @ 0 (%BW): 15%
  - Dominant ER strength @ 0 (%BW): 15%
  - Non-dominant IR strength @ 0 (%BW): 22%
  - Dominant IR strength @ 0 (%BW): 22%
Ness et al, 2021 found that female collegiate indoor volleyball players had varied IR and strength changes throughout their competitive season. Below are thenormative value ranges throughout the season:
- 5 D1 female indoor volleyball players
  - Dominant arm IR @ 90 strength (%BW): 22%-33%
  - Dominant arm ER @ 90 strength (%BW): 19%-21%
  - ER/IR @ 0 ratio: 70%-97%
Nakaji et al, 2021 measured shoulder strength of 50 youth baseball players age 5-12 and found the below values (%BW)
  - ER @ 0 LSI (dominant vs. Non-dominant): 106%
  - IR @ 0 LSI (dominant vs. Non-dominant): 115%
  - ER @ 90 LSI (dominant vs. Non-dominant): 98%
  - IR @ 90 LSI (dominant vs. Non-dominant): 109%
  - Non-dominant ER strength @ 0 (%BW): 12.9 
  - Dominant ER strength @ 0 (lbs): 13.6
  - Non-dominant IR strength @ 0 (lbs): 15.7
  - Dominant IR strength @ 0 (lbs): 18
  - Non-dominant ER strength @ 90 (lbs): 12.5
  - Dominant ER strength @ 90 (lbs): 12.3
  - Non-dominant IR strength @ 90 (lbs): 15
  - Dominant IR strength @ 90 (lbs): 16.4
  - Non-dominant ER/IR @ 0 (%): 82%
  - Dominant ER/IR @ 0 (%): 76%
  - Non-dominant ER/IR @ 90 (%): 83%
  - Dominant ER/IR @ 90 (%): 75%</t>
  </si>
  <si>
    <t>Hip</t>
  </si>
  <si>
    <r>
      <t xml:space="preserve">Ishoi et al, 2021 found that those who had hip arthroscopy performed for FAIS at an average of 3-year follow up (range 6 months - 67 months) </t>
    </r>
    <r>
      <rPr>
        <b/>
        <sz val="10"/>
        <color rgb="FF000000"/>
        <rFont val="Arial"/>
        <family val="2"/>
      </rPr>
      <t>had equal strength on hip abductors, adductors, flexors, and extensors</t>
    </r>
    <r>
      <rPr>
        <sz val="10"/>
        <color rgb="FF000000"/>
        <rFont val="Arial"/>
        <family val="2"/>
      </rPr>
      <t xml:space="preserve"> when tested during a isometric "make test". Symmetry and rate of torque development were not predictors of patient reported outcomes measures, however absolute strength was. 
- Abd, Add, Flex, and Ext LSI were all &gt;90%
- Absolute strength found in these studies are below (Isometric "make" test, Nm/kg):
   - Supine long lever abduction; device 5 cm above malleoli: 1.83
   - Supine long lever adduction; device 5 cm above malleoli: 2.21
   - Seated flexion; device distal quad, belt-fixed: 1.93
   - Prone long lever extension; device 5 cm above malleoli, belt-fixed: 2.97
In the same cohort, the 5 second squeeze test (5SST) strength and pain levels seemed to be associated with performing activities listed on the HAGOS well. These strength and pain scores are below: 
- 2.76 Nm/kg and 1/10 pain: running as fast as possible
- 2.82 Nm/kg and 1/10 pain: kicking and skating
- 3.15 Nm/kg and 2/10 pain: full participation
Martins et al, 2017 assessed reliability and validity of a HHD compared to isokinetics and provided below norms:
13 men, 13 women, 23.5 y/o, very active, make test:
- Seated hip internal rotators, device 5cm above malleoli, moment arm = femoral epicondyle to 5 cm above malleoli (Nm/kg or %BW): 0.55
- Hip external rotators, device 2 cm above femoral epicondyle, moment arm = femoral epicondyle to 5 cm above malleoli (Nm/kg or %BW): 0.52
- Supine hip extensors, hips flexed 30 deg, device 2 cm above femoral epicondyle, moment arm =ASIS to 2 cm above femoral epicondyle (Nm/kg or %BW): 2.27 or 76%
- Supine hip flexors, hips flexed 30 deg, device 2 cm above femoral epicondyle, moment arm =ASIS to 2 cm above femoral epicondyle (Nm/kg or %BW): 1.66 or 55%
- Sidelying hip adductors, top leg, hips abducted 30 deg, device 2 cm above femoral epicondyle, moment arm =ASIS to 2 cm above femoral epicondyle (Nm/kg or %BW): 1.74 or 58%
- Sidelying hip abductors, top leg, hips abducted 30 deg, device 2 cm above femoral epicondyle, moment arm =ASIS to 2 cm above femoral epicondyle(Nm/kg or %BW): 1.43 or 47%
Thorborg et al, 2010 assessed the reliability of hip strength measurement using a HHD with no external fixation in several positions and provided norms in N/kg:
5 males, 4 females, make test:
- Hip abduction, sidelying: 1.83
- Hip abduction, supine: 2.03
- Hip adduction, sidelying: 2.12
- Hip adduction, supine: 1.93
- Hip extension, prone, long lever: 3.05
- Hip extension, prone, short lever: 3.18
- Hip external rotation, prone: 1.89
- Hip external rotation, seated: 1.83
- Hip internal rotation, prone: 1.71
- Hip internal rotation, seated: 1.93
- Hip flexion, seated: 3.96
- Hip flexion, supine: 3.10
</t>
    </r>
  </si>
  <si>
    <t>Lower Extremity Force Plate Testing: Countermovement Jump
There are few, if any, studies showing predictive abilities of countermovement jump kinetics to predict injury or re-injury. Most of the research regarding injuries is about those who are already injured or had a history of injury. Normative values from such studies may be useful to practitioners when making decisions.
Read et al, 2020 studied a group of professional football players and provided norms for peak power and assymetries:
204 health, pro soccer, male, 24 y/o:
- Peak power (W/kg): 50.4±.4.9 (49.7-51.1)
- Eccentric deceleration impulse Asymmetry (% toward uninjured side): 6.0±4.5
- Concentric Impulse Asymmetry (% toward uninjured side): 2.8±.1.8
- Peak landing force (not impulse) asymmetry (% toward uninjured side): 8.7±.6.6
Kotsifaki et al, 2023 reported similar findings, but also provided coefficient of variation for each phase. This means that aysmmetries below the CVs may be natural variability of the movement and not true "abnormal" movement.
532 healthy, male, 25 y/o
- Eccentric Impulse Asymmetry (%  toward uninjured side): 4±14; Coefficient of variability: 13-15%
- Concentric Impulse Asymmetry (%  toward uninjured side): 1±7; Coefficient of variability: 7-8%
- Peak landing force (not impulse) asymmetry (% toward injured side): 1±19; Coefficient of variability: 19-22%
Collings et al, 2021 investigated CMJ differences in jumping and landing metrics, and found no differences between those who had a prior hip/groin injury within the past 12 months (25 female, pro Australian football, 19 y/o) and healthies (198 females, pro Australian football, 20 y/o), or between injured and uninjured limbs.
van Melick et al, 2024 reviewed norms across various sports for various jumps. The study was performed to look at those with history of ACLR, however data from healthy controls is present. These values are in the referenced article on the "info" tab as well as www.aclreference.nl.</t>
  </si>
  <si>
    <t>Quad Strength:
Grindem et al, 2016 showed their was a 84% reduction in injury risk if quadriceps LSI criteria was met as part of a test battery. The risk of another ACL injury was reduced by 3% for every 1% increase in quadricep LSI . Arhoset al, 2020 also found there was a reduction in the risk of early onset symptomatic osteoarthritis after ACLR. The risk was decreased by 4% for every 1% increase. Grindem et al, 2016 provided an average quadriceps LSI of 84.4% (±15.2) in their cohort, however this was tested on isokinetics at 60 d/sec. Sinacore et al, 2017 had simliar findings when quads were tested isometrically with a handheld dynamometer.
Test battery that showed 84% reduction in re-injury after ACLR (Grindem et al, 2016), and 2.5% re-injury rate after 2 years from surgery (Arundale et al, 2018):
- Quadriceps LSI: &gt;90%
- 4 single leg hop tests: &gt;90%
- KOOS-ADL: &gt; 90%
- Global Rating Scale: 90%
Sinacore et al, 2017: 56 patients s/p ACLR, isometrics @ 90
Quad LSI (%): 86.5 ± 19.2
Lesnak et al, 2019 assessed the validitiy of handheld dynamometers and found they tend to overestimate strength, and provided normative values for a isometric assessment of quad strength with both a isokinetic dynamometer and a handheld dynamometer.
Healthy, 12 males, 8 females, 23.7 y/o, tegner 6.7, isometric @ 90
- Handheld dynamometer peak torque to bodyweight ratio (Nm/kg or %BW): 3.81±.91 or 127%±30%
- Isokinetic Dynamometer peak torque to bodyweight ratio (Nm/kg or %BW): 3.57±.61 or 119%±20%
van Melick et al, 2022 reviewed norms across various cutting sports however their data was primarily isokinetics across different speeds, or the isometric values were not scaled to bodyweight. These values are in the referenced article on the "info" tab as well as www.aclreference.nl.
Researchers at the University of Virginia also provided a website to enter data to compare where your patient is in their ACL recovery compared to a large data set. You may enter and compare your data at www.acldashboard.com
Hamstring Strength:
Hamstring strength symmetry has not been found to be predictive of injury or re-injury, however it is a component ot algorithm-based rehab which has been shown to reduce re-injury rates compared to traditional rehab. Whiteley et al, 2012 assessed reliability of HHD testing for hamstring and provided norms across different positions. Martin et al, 2022 graded measurement of knee flexors an "A" level recommendation in their clinical practice guideline:
216 males, professional soccer, healthy
- Isometric hamstring, seated, knee at 30 deg:
   - Right vs. left LSI (%): 104
   - Peak force (kg/kg): .49
 - Eccentric hamstring (break test), prone:
   - Right vs. left LSI (%): 104%
   - Peak force (kg/kg): .47
 - Concentric hamstring, 60 d/sec:
   - Right vs. left LSI (%): 100%
   - Peak torque to bodyweight (Nm/kg or %BW): 1.76 or 59%
 - Eccentric hamstring, 60 d/sec:
   - Right vs. left LSI (%): 99%
   - Peak torque to bodyweight (Nm/kg or %BW): 2.54 or 85%
Larson et al, 2022 assessed hamstring strength measures by HHD reliability, and provided norms for 20 healthy recreationally active individuals (11 males, 9 females) in various positions:
- Seated, make test, device fixated against tabe leg, 5 cm above malleoli
   - Dominant vs. non-dominant LSI (%): 108-118 (SEM = up to 15%)
   - Dominant leg peak torque(Nm/kg or /%BW): 1.10±..15 or 37%±5%
   - Non-dominant leg peak torque(Nm/kg or %BW): 1.01±..47 or 34%±16%
- Prone, make test, no fixation, device 5 cm above malleoli
   - Dominant vs. Non-dominant LSI (%): 94-109% (SEM = up to 14%)
   - Dominant leg peak torque(Nm/kg or %BW): .89±..29 or 30%±9.7%
   - Non-dominant leg peak torque(Nm/kg or %BW): .90±..34 or 30%±11.3%</t>
  </si>
  <si>
    <t>Lower Extremity Force Plate Testing: Countermovement Jump
There are few, if any, studies showing predictive abilities of countermovement jump kinetics to predict injury or re-injury. Most of the research regarding injuries is about those who are already injured or had a history of injury. Normative values from such studies may be useful to practitioners when making decisions.
Read et al, 2020 studied a group of professional football players and provided norms for peak power and assymetries at specific time points:
166 ACLR, 204 health, pro soccer, male, 24 y/o:
Peak power (W/kg):
- ACLR &lt;6 monts post-op: 44.2±.6.1 (42.0-46.5)
- ACLR between 6-9 months post-op: 46.7±.6.3 (45.1-48.2)
- ACLR greater than 9 months post-op: 46.4±.6.2 (44.7-48.1)
- Healthy controls 50.4±.4.9 (49.7-51.1)
Eccentric deceleration impulse Asymmetry (% toward uninjured side):
- ACLR &lt;6 monts post-op: 10.4±7.2
- ACLR between 6-9 months post-op: 10.2±6.2
- ACLR greater than 9 months post-op: 8.5±5.8
- Healthy controls 6.0±4.5
Concentric Impulse Asymmetry (% toward uninjured side):
- ACLR &lt;6 monts post-op: 11.3±.5.8
- ACLR between 6-9 months post-op: 9.6±.5.6
- ACLR greater than 9 months post-op: 7.4±.5.1
- Healthy controls 2.8±.1.8
Peak landing force (not impulse) asymmetry (% toward uninjured side):
- ACLR &lt;6 monts post-op: 15.8±.12.4
- ACLR between 6-9 months post-op: 13.8±.11.3
- ACLR greater than 9 months post-op: 11.2±.8.8
- Healthy controls 8.7±.6.6
Kotsifaki et al, 2023 reported similar findings, but also provided coefficient of varance for each phase. This means that aysmmetries below the CVs may be natural variability of the movement and not true abnormal movement.
126 ACLR, 532 healthy, male, 25 y/o
Eccentric Impulse Asymmetry (%  toward uninjured side):
- Coefficient of variability: 13-15%
- ACLR: 4±13
- Healthy: 4±14
Concentric Impulse Asymmetry (%  toward uninjured side):
- Coefficient of variability: 7-8%
- ACLR: 7±7
- Healthy: 1±7
Peak landing force (not impulse) asymmetry (% toward injured side):
- Coefficient of variability: 19-22%
- ACLR: 10±20
- Healthy: 1±19
Collings et al, 2021 investigated CMJ differences in jumping and landing metrics, and found no differences between those who had a prior hamstring within the past 12 months (26 female, pro Australian football, 21 y/o).
van Melick et al, 2024 reviewed norms across various sports for various jumps. These values are in the referenced article on the "info" tab as well as www.aclreference.nl.</t>
  </si>
  <si>
    <t>Ankle/Foot</t>
  </si>
  <si>
    <t>Silbernagel et al, 2010 studied different metrics of a heel raise test being associated with PROs in those with an Achilles injury. The "Calf Raise app" also measures those metrics, and was validated against 3D motion capture; it showed excellent reliability between systems.Silbernagel provided normative values for those at 6 months and 9 months which is often times when those with Achilles repairs return to running and return to sport respectively. These values are below:
   - 6-months: 
     - Peak height LSI: &gt;70%
     - Work LSI: &gt;60%
     - Repitition LSI: &gt; 83%
   - 9-months:
     - Peak height LSI: &gt; 77%
     - Work LSI: 75%
     - Repitition LSI: &gt;94%
Lee et al, 2023 studied male rugby players performing a seated isometric platorflexor test and found that the average force produced was between 1.7 - 2.0 when comparing the force produced to someone's bodyweight; the range was dependant on position. 
In unpublished data from Vien Vu,11 healthy D1 female tennis players were assessed using the Calf Raise app and force plates. Below are averages of various metrics:
Heel raise peak height (R vs. L): 96%
R heel raise peak height (cm): 11.7 
L heel raise peak height (cm): 12.1
Heel raise positive work (R vs. L): 102%
R heel raise postive work (J): 1307
L heel raise positive work (J): 1277
Seated heel raise isometric w/ force plates (R v L): 84%
R seated heel raise isometric w/ force plates (xBW): 1.2 
L seated heel raise isometrics w/ force plates (xBW): 1.4</t>
  </si>
  <si>
    <t>Lower Extremity Force Plate Testing: Countermovement Jump
There are few, if any, studies showing predictive abilities of countermovement jump kinetics to predict injury or re-injury. Most of the research regarding injuries is about those who are already injured or had a history of injury. Normative values from such studies may be useful to practitioners when making decisions. There are limited studies performed on those with ankle/foot injuries. Therefore, it may be useful to use data of healthy controls overall to determine if some metrics may be "abnormal".
Read et al, 2020 studied a group of professional football players and provided norms for peak power and assymetries:
204 health, pro soccer, male, 24 y/o:
- Peak power (W/kg): 50.4±.4.9 (49.7-51.1)
- Eccentric deceleration impulse Asymmetry (% toward uninjured side): 6.0±4.5
- Concentric Impulse Asymmetry (% toward uninjured side): 2.8±.1.8
- Peak landing force (not impulse) asymmetry (% toward uninjured side): 8.7±.6.6
Kotsifaki et al, 2023 reported similar findings, but also provided coefficient of varance for each phase. This means that aysmmetries below the CVs may be natural variability of the movement and not true abnormal movement.
532 healthy, male, 25 y/o
- Eccentric Impulse Asymmetry (%  toward uninjured side): 4±14; Coefficient of variability: 13-15%
- Concentric Impulse Asymmetry (%  toward uninjured side): 1±7; Coefficient of variability: 7-8%
- Peak landing force (not impulse) asymmetry (% toward injured side): 1±19; Coefficient of variability: 19-22%
van Melick et al, 2024 reviewed norms across various cutting sports for various jumps. The study was performed to look at those with history of ACLR, however data from healthy controls is present. These values are in the referenced article on the "info" tab as well as www.aclreference.nl.</t>
  </si>
  <si>
    <t>Hips</t>
  </si>
  <si>
    <t>Strength Calculations</t>
  </si>
  <si>
    <t>Guage Charts</t>
  </si>
  <si>
    <t>Quad LSI</t>
  </si>
  <si>
    <t>ER LSI</t>
  </si>
  <si>
    <t>Abduction LSI</t>
  </si>
  <si>
    <t>In Flex kg</t>
  </si>
  <si>
    <t>In Ext kg</t>
  </si>
  <si>
    <t>Abduction</t>
  </si>
  <si>
    <t>5SST</t>
  </si>
  <si>
    <t>Pointer</t>
  </si>
  <si>
    <t>Un Flex  kg</t>
  </si>
  <si>
    <t>Un Knee Ext kg</t>
  </si>
  <si>
    <t>In Hip Abd kg</t>
  </si>
  <si>
    <t>5SST kg</t>
  </si>
  <si>
    <t>Angle</t>
  </si>
  <si>
    <t>Un Hip Abd kg</t>
  </si>
  <si>
    <t>Ankle</t>
  </si>
  <si>
    <t>In Torque</t>
  </si>
  <si>
    <t>PT:BW</t>
  </si>
  <si>
    <t>Foot</t>
  </si>
  <si>
    <t>Un Torque</t>
  </si>
  <si>
    <t>Inv N abd</t>
  </si>
  <si>
    <t>BW (kg)</t>
  </si>
  <si>
    <t>Un N abd</t>
  </si>
  <si>
    <t>In PTBW</t>
  </si>
  <si>
    <t>Hamstring LSI</t>
  </si>
  <si>
    <t>IR LSI</t>
  </si>
  <si>
    <t>Adduction LSI</t>
  </si>
  <si>
    <t>Un PTBW</t>
  </si>
  <si>
    <t>Ham</t>
  </si>
  <si>
    <t>Adduction</t>
  </si>
  <si>
    <t>In Knee Flex kg</t>
  </si>
  <si>
    <t>Un Knee Flex kg</t>
  </si>
  <si>
    <t>In Hip Add kg</t>
  </si>
  <si>
    <t>Inv N add</t>
  </si>
  <si>
    <t>Un Hip Add kg</t>
  </si>
  <si>
    <t>Un N add</t>
  </si>
  <si>
    <t>Involved Quad PT:BW</t>
  </si>
  <si>
    <t>Involved ER PT:BW</t>
  </si>
  <si>
    <t>Flexion LSI</t>
  </si>
  <si>
    <t>Peak</t>
  </si>
  <si>
    <t>Avg</t>
  </si>
  <si>
    <t>Green</t>
  </si>
  <si>
    <t>F1</t>
  </si>
  <si>
    <t>You did it!</t>
  </si>
  <si>
    <t>That's tough! 💪</t>
  </si>
  <si>
    <t>F2</t>
  </si>
  <si>
    <t>Let's Go!</t>
  </si>
  <si>
    <t>Crushed it!</t>
  </si>
  <si>
    <t>F3</t>
  </si>
  <si>
    <t>You're an animal!</t>
  </si>
  <si>
    <t>Absolute problem 😤</t>
  </si>
  <si>
    <t>F4</t>
  </si>
  <si>
    <t>Way to lock in!</t>
  </si>
  <si>
    <t>Uninvolved Quad PT:BW</t>
  </si>
  <si>
    <t>Uninvolved ER PT:BW</t>
  </si>
  <si>
    <t xml:space="preserve">It all paid off! </t>
  </si>
  <si>
    <t>GOAT status 🐐</t>
  </si>
  <si>
    <t>Unsto🅿️🅿️able!</t>
  </si>
  <si>
    <t>Yellow</t>
  </si>
  <si>
    <t>Almost There!</t>
  </si>
  <si>
    <t xml:space="preserve">Keep going! </t>
  </si>
  <si>
    <t>Don't give up!</t>
  </si>
  <si>
    <t>Keep locking in!</t>
  </si>
  <si>
    <t>Involved Hamstring PT:BW</t>
  </si>
  <si>
    <t>Involved ER:IR</t>
  </si>
  <si>
    <t>Involved Add:Abd</t>
  </si>
  <si>
    <t>Way to adapt!</t>
  </si>
  <si>
    <t>On the right track!</t>
  </si>
  <si>
    <t>1% better each day!</t>
  </si>
  <si>
    <t>Keep that attitude</t>
  </si>
  <si>
    <t>Red</t>
  </si>
  <si>
    <t>Time to lock in.</t>
  </si>
  <si>
    <t>Keep hitting weights.</t>
  </si>
  <si>
    <t>Stay focused.</t>
  </si>
  <si>
    <t>Upward and onward.</t>
  </si>
  <si>
    <t>Uninvolved Hamstring PT:BW</t>
  </si>
  <si>
    <t>Uninvolved ER:IR</t>
  </si>
  <si>
    <t>Uninvolved Add:Abd</t>
  </si>
  <si>
    <t>Not there YET.</t>
  </si>
  <si>
    <t>Seated plantarflexion LSI</t>
  </si>
  <si>
    <t>Standing plantarflexion distance LSI</t>
  </si>
  <si>
    <t>Standing plantarflexion power LSI</t>
  </si>
  <si>
    <t>Standing plantarflexion fatigue LSI</t>
  </si>
  <si>
    <t>Eversion LSI</t>
  </si>
  <si>
    <t>Inversion LSI</t>
  </si>
  <si>
    <t>Label 1</t>
  </si>
  <si>
    <t>Category 1 Description</t>
  </si>
  <si>
    <t>Question 1</t>
  </si>
  <si>
    <t>Guage 1a</t>
  </si>
  <si>
    <t>Label 1a Name</t>
  </si>
  <si>
    <t>Value 1a</t>
  </si>
  <si>
    <t>Result 1a</t>
  </si>
  <si>
    <t>Guage 1b</t>
  </si>
  <si>
    <t>Label 1b Name</t>
  </si>
  <si>
    <t>Value 1b</t>
  </si>
  <si>
    <t>Result 1b</t>
  </si>
  <si>
    <t>Question 2</t>
  </si>
  <si>
    <t>Guage 2a</t>
  </si>
  <si>
    <t>Label 2a Name</t>
  </si>
  <si>
    <t>Value 2a</t>
  </si>
  <si>
    <t>Result 2a</t>
  </si>
  <si>
    <t>Guage 2b</t>
  </si>
  <si>
    <t>Label 2b Name</t>
  </si>
  <si>
    <t>Result 2b</t>
  </si>
  <si>
    <t>Question 3</t>
  </si>
  <si>
    <t>Guage 3a</t>
  </si>
  <si>
    <t>Label 3a Name</t>
  </si>
  <si>
    <t>Value 3a</t>
  </si>
  <si>
    <t>Result 3a</t>
  </si>
  <si>
    <t>Guage 3b</t>
  </si>
  <si>
    <t>Label 3b Name</t>
  </si>
  <si>
    <t>Result 3b</t>
  </si>
  <si>
    <t>Value 4</t>
  </si>
  <si>
    <t>Explain 4</t>
  </si>
  <si>
    <t>Label 4a</t>
  </si>
  <si>
    <t>Value 4a</t>
  </si>
  <si>
    <t>Explain 4a</t>
  </si>
  <si>
    <t>Label 4b</t>
  </si>
  <si>
    <t>Value 4b</t>
  </si>
  <si>
    <t>Explain 4b</t>
  </si>
  <si>
    <t>Label 4c</t>
  </si>
  <si>
    <t>Value 4c</t>
  </si>
  <si>
    <t>Explain 4c</t>
  </si>
  <si>
    <t>Label 4d</t>
  </si>
  <si>
    <t>Value 4d</t>
  </si>
  <si>
    <t>Explain 4d</t>
  </si>
  <si>
    <t>External and Internal Rotator Strength</t>
  </si>
  <si>
    <t>Often times, the external rotators (ER) weaken when there is pain or surgery. The internal rotators (IR) are also important since they works together with the ERs to keep the shoulder stable. This is even more important for throwers and contact athletes because strong rotator cuff muscles may help absorb impact and also better decelerat the arm during follow through.</t>
  </si>
  <si>
    <t>How strong are the external and internal rotators of your injured arm compared to your non-injured arm?
Goal: 100%</t>
  </si>
  <si>
    <t>External Rotators LSI</t>
  </si>
  <si>
    <t>Internal Rotators LSI</t>
  </si>
  <si>
    <t>How strong are your ER muscles compared to your bodyweight? (PT:BW)
Goal: 20%</t>
  </si>
  <si>
    <t>Injured arm</t>
  </si>
  <si>
    <t>Non-injured arm</t>
  </si>
  <si>
    <t>How strong are your ER muscles compared to your IR muscles?
*This is only true if your back shoulder muscle equalness is 100% or higher
Goal: 66-75%</t>
  </si>
  <si>
    <t>This indicates how strong your injured side is compared to your uninjured side. A goal of 90% or greater is ideal, however this may vary based on sport and dominant arm. This test is chosen to see how your shoulder responds during a provocative assessment.</t>
  </si>
  <si>
    <t>I-Position
(180 degrees)</t>
  </si>
  <si>
    <t>This position is directly overhead and should be the strongest position relative to the others.</t>
  </si>
  <si>
    <t>Y-Position
(135 dergrees)</t>
  </si>
  <si>
    <t>This position is  overhead slightly to the side and should be the 2nd strongest position relative to the others.</t>
  </si>
  <si>
    <t>T-Position
(0 degrees)</t>
  </si>
  <si>
    <t>This position is  directly out to the side and should be the weakest position relative to the others.</t>
  </si>
  <si>
    <t>Although you suffered an elbow injury, the rotator cuff muscles are important to test out. Combined with proper mechanics, they can take stress off the structures of your elbow during throwing. At the least, testing them can see if your elbow, in general, is painful from torque experienced in normal exercises.</t>
  </si>
  <si>
    <t>How strong are your ER muscles compared to your IR muscles?
*This is only true if your back shoulder muscle equalness is near 100%
Goal: 66-75%</t>
  </si>
  <si>
    <t>Hip strength may be able to help you reduce pain, or tell you if your rehab is going accordingly. Of particular importance, the research shows if your groin muscles are strong relative to your outside hip muscles, you may be more resistant to groin injuries. Additionally, some hip surgeries involve going through your hip flexors. Restoring hip flexor strength may also be important in your recovery too.</t>
  </si>
  <si>
    <t>How strong are your abductors and adductors of your injured leg compared to your non-injured leg?
Goal: 100%</t>
  </si>
  <si>
    <t>How strong are your hip flexors and glute muscles on your injured side compared to your non-injured side?
Goal: 100%</t>
  </si>
  <si>
    <t>Hip Flexors LSI</t>
  </si>
  <si>
    <t>How strong are your groin muscles compared to your abductors?
*This is only true if yourabductors equalness is near 100%
Goal: &gt;80%</t>
  </si>
  <si>
    <t>Injured leg</t>
  </si>
  <si>
    <t>Non-injured leg</t>
  </si>
  <si>
    <t>Asymmetry:</t>
  </si>
  <si>
    <t>Asymmetry indicates which side you're using more. Ex: 20% R means you're using the right side 20% more than the left. Goals may vary based on baseline and norms.</t>
  </si>
  <si>
    <t>Braking or
Eccentric Deceleration Impulse</t>
  </si>
  <si>
    <t>This is the phase where you move down prior to jumping up;a deceleration-type task. There may be room for error so anything up to 30% may be normal.</t>
  </si>
  <si>
    <t>Propulsion or Concentric Impulse</t>
  </si>
  <si>
    <t>This is the phase where you are moving up, but you have not left the ground yet. This phase has less room for error, so large shifts like 20%+ may be truly abnormal.</t>
  </si>
  <si>
    <t>Landing Impulse</t>
  </si>
  <si>
    <t>This phase looks at which side you shift toward during high impact forces. There may be a lot of room for error, so anything up to 30% may be normal.</t>
  </si>
  <si>
    <t>Peak Power/BW (W/kg)</t>
  </si>
  <si>
    <t>This indicates how powerful you are, and is scaled to bodyweight in order to compare it to others. It highly varies between 40 to 100 based on sport and sex.</t>
  </si>
  <si>
    <t>Quad and Hamstring Strength</t>
  </si>
  <si>
    <t>Quad strength is the hallmark of a nice healthy knee. Research overwhelmingly agrees it is important in reducing the risk of a re-injury to some surgeries. Overall, people report a higher quality of life and less disability with higher quad strength. Hamstrings need some love too as they can co-contract to stabilize your knee. Not only do these muscles help you decelerate, but also run fast and jump high.</t>
  </si>
  <si>
    <t>How strong are the quads and hammies of your injured leg compared to your non-injured leg?
Goal: 100%</t>
  </si>
  <si>
    <t>How strong are your quads compared to your bodyweight? (PT:BW)
Goal: 100-120%</t>
  </si>
  <si>
    <t>Injured Leg</t>
  </si>
  <si>
    <t>Non-injured Leg</t>
  </si>
  <si>
    <t xml:space="preserve">How strong are your hamstrings compared to your bodyweight? (PT:BW)
Goal: 
30-40% (w/ HHD)
</t>
  </si>
  <si>
    <t>Calf Strength</t>
  </si>
  <si>
    <t>Your calf muscles work very hard during impact exercises, absorbing 6-12x your body weight per step. Therefore it is important to keep these muscle strong. After foot/ankle injuries, heel raises are hard to perform at the very top. Additionally, your calf muscles often lack the ability to generate force quickly after injury. Additionally, the muscles around your ankle are important in keeping it stable, so those may be good to check as well.</t>
  </si>
  <si>
    <t>How strong are your calf muscles in your injured leg compared to your non-injured leg?
Goal: 100%</t>
  </si>
  <si>
    <t>Plantarflexors LSI</t>
  </si>
  <si>
    <t>Peak Heel Raise Height LSI</t>
  </si>
  <si>
    <t>How fast can you produce force (power), and how easily do your ankle muscles get tired (endurance) when comparing your injured leg to non-injured?
Goal: 100%</t>
  </si>
  <si>
    <t>Calf Endurance LSI</t>
  </si>
  <si>
    <t>Calf Power LSI</t>
  </si>
  <si>
    <t>How strong are your ankle evertors and invertors of your injured leg compared to your non-injured leg?
Goal: 100%</t>
  </si>
  <si>
    <t>Evertors LSI</t>
  </si>
  <si>
    <t>Invertors LSI</t>
  </si>
  <si>
    <t xml:space="preserve">This is the phase where you are moving up, but you have not left the ground yet. This phase has less room for error, so large shifts like 20%+ may be truly abnormal.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</si>
</sst>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0.00000%"/>
  </numFmts>
  <fonts count="66">
    <font>
      <sz val="10"/>
      <color rgb="FF000000"/>
      <name val="Arial"/>
    </font>
    <font>
      <sz val="10"/>
      <name val="Arial"/>
      <family val="2"/>
    </font>
    <font>
      <sz val="10"/>
      <color rgb="FFBF9000"/>
      <name val="Arial"/>
      <family val="2"/>
    </font>
    <font>
      <sz val="10"/>
      <color rgb="FF000000"/>
      <name val="Arial"/>
      <family val="2"/>
    </font>
    <font>
      <sz val="10"/>
      <color rgb="FF000000"/>
      <name val="Arial"/>
      <family val="2"/>
    </font>
    <font>
      <sz val="10"/>
      <color theme="5"/>
      <name val="Arial"/>
      <family val="2"/>
    </font>
    <font>
      <u/>
      <sz val="10"/>
      <color theme="10"/>
      <name val="Arial"/>
      <family val="2"/>
    </font>
    <font>
      <sz val="10"/>
      <name val="Arial Nova"/>
      <family val="2"/>
    </font>
    <font>
      <sz val="12"/>
      <color rgb="FFEE5A24"/>
      <name val="Arial Nova"/>
      <family val="2"/>
    </font>
    <font>
      <sz val="10"/>
      <color rgb="FF000000"/>
      <name val="Arial Nova"/>
      <family val="2"/>
    </font>
    <font>
      <sz val="10"/>
      <color theme="1"/>
      <name val="Arial Nova"/>
      <family val="2"/>
    </font>
    <font>
      <sz val="14"/>
      <color theme="5"/>
      <name val="Arial"/>
      <family val="2"/>
    </font>
    <font>
      <sz val="28"/>
      <color rgb="FF000000"/>
      <name val="Arial"/>
      <family val="2"/>
    </font>
    <font>
      <u/>
      <sz val="24"/>
      <color theme="10"/>
      <name val="Arial"/>
      <family val="2"/>
    </font>
    <font>
      <sz val="10"/>
      <color theme="0"/>
      <name val="Arial Nova"/>
      <family val="2"/>
    </font>
    <font>
      <sz val="12"/>
      <color theme="0"/>
      <name val="Arial Nova"/>
      <family val="2"/>
    </font>
    <font>
      <sz val="12"/>
      <color theme="2" tint="-0.249977111117893"/>
      <name val="Arial Nova"/>
      <family val="2"/>
    </font>
    <font>
      <sz val="18"/>
      <color theme="0"/>
      <name val="Arial"/>
      <family val="2"/>
    </font>
    <font>
      <sz val="10"/>
      <color theme="1"/>
      <name val="Arial"/>
      <family val="2"/>
    </font>
    <font>
      <sz val="10"/>
      <color theme="0"/>
      <name val="Arial"/>
      <family val="2"/>
    </font>
    <font>
      <sz val="14"/>
      <color theme="0"/>
      <name val="Arial"/>
      <family val="2"/>
    </font>
    <font>
      <sz val="14"/>
      <color rgb="FF000000"/>
      <name val="Arial"/>
      <family val="2"/>
    </font>
    <font>
      <sz val="14"/>
      <name val="Arial"/>
      <family val="2"/>
    </font>
    <font>
      <sz val="14"/>
      <color theme="0"/>
      <name val="Arial Nova"/>
      <family val="2"/>
    </font>
    <font>
      <sz val="14"/>
      <color rgb="FFEE5A24"/>
      <name val="Arial"/>
      <family val="2"/>
    </font>
    <font>
      <sz val="14"/>
      <name val="Arial Nova"/>
      <family val="2"/>
    </font>
    <font>
      <sz val="36"/>
      <name val="Arial Nova"/>
      <family val="2"/>
    </font>
    <font>
      <sz val="14"/>
      <color theme="1"/>
      <name val="Arial Nova"/>
      <family val="2"/>
    </font>
    <font>
      <sz val="14"/>
      <color theme="1"/>
      <name val="Arial"/>
      <family val="2"/>
    </font>
    <font>
      <sz val="72"/>
      <color theme="0"/>
      <name val="Arial Nova"/>
      <family val="2"/>
    </font>
    <font>
      <u/>
      <sz val="14"/>
      <color theme="0"/>
      <name val="Arial"/>
      <family val="2"/>
    </font>
    <font>
      <sz val="16"/>
      <color theme="0"/>
      <name val="Arial Nova"/>
      <family val="2"/>
    </font>
    <font>
      <sz val="12"/>
      <name val="Arial Nova"/>
      <family val="2"/>
    </font>
    <font>
      <sz val="16"/>
      <color rgb="FF000000"/>
      <name val="Arial Nova"/>
      <family val="2"/>
    </font>
    <font>
      <sz val="28"/>
      <name val="Arial"/>
      <family val="2"/>
    </font>
    <font>
      <sz val="14"/>
      <color theme="2" tint="-0.499984740745262"/>
      <name val="Arial"/>
      <family val="2"/>
    </font>
    <font>
      <sz val="24"/>
      <color theme="0"/>
      <name val="Arial"/>
      <family val="2"/>
    </font>
    <font>
      <sz val="36"/>
      <color rgb="FF000000"/>
      <name val="Arial"/>
      <family val="2"/>
    </font>
    <font>
      <sz val="12"/>
      <color theme="1" tint="0.499984740745262"/>
      <name val="Arial Nova"/>
      <family val="2"/>
    </font>
    <font>
      <sz val="16"/>
      <name val="Arial Nova"/>
      <family val="2"/>
    </font>
    <font>
      <sz val="16"/>
      <color rgb="FF000000"/>
      <name val="Arial"/>
      <family val="2"/>
    </font>
    <font>
      <sz val="11"/>
      <name val="Arial Nova"/>
      <family val="2"/>
    </font>
    <font>
      <sz val="28"/>
      <color theme="0"/>
      <name val="Arial Nova"/>
      <family val="2"/>
    </font>
    <font>
      <sz val="28"/>
      <color theme="1"/>
      <name val="Arial Nova"/>
      <family val="2"/>
    </font>
    <font>
      <sz val="22"/>
      <color rgb="FF000000"/>
      <name val="Arial"/>
      <family val="2"/>
    </font>
    <font>
      <sz val="22"/>
      <color theme="1"/>
      <name val="Arial"/>
      <family val="2"/>
    </font>
    <font>
      <sz val="11"/>
      <color theme="0"/>
      <name val="Calibri"/>
      <family val="2"/>
      <scheme val="minor"/>
    </font>
    <font>
      <sz val="32"/>
      <color rgb="FF000000"/>
      <name val="Arial"/>
      <family val="2"/>
    </font>
    <font>
      <sz val="34"/>
      <color theme="0"/>
      <name val="Arial"/>
      <family val="2"/>
    </font>
    <font>
      <sz val="12"/>
      <color theme="0"/>
      <name val="Arial"/>
      <family val="2"/>
    </font>
    <font>
      <sz val="32"/>
      <color rgb="FF000000"/>
      <name val="Vladimir Script"/>
      <family val="4"/>
    </font>
    <font>
      <sz val="28"/>
      <color theme="0"/>
      <name val="Arial"/>
      <family val="2"/>
    </font>
    <font>
      <sz val="12"/>
      <color rgb="FF000000"/>
      <name val="Arial"/>
      <family val="2"/>
    </font>
    <font>
      <sz val="20"/>
      <color rgb="FF000000"/>
      <name val="Arial"/>
      <family val="2"/>
    </font>
    <font>
      <b/>
      <sz val="10"/>
      <color rgb="FF000000"/>
      <name val="Arial"/>
      <family val="2"/>
    </font>
    <font>
      <b/>
      <u/>
      <sz val="12"/>
      <color rgb="FF000000"/>
      <name val="Arial"/>
      <family val="2"/>
    </font>
    <font>
      <b/>
      <sz val="12"/>
      <color rgb="FF000000"/>
      <name val="Arial"/>
      <family val="2"/>
    </font>
    <font>
      <sz val="20"/>
      <color theme="0"/>
      <name val="Arial"/>
      <family val="2"/>
    </font>
    <font>
      <u/>
      <sz val="20"/>
      <color theme="0"/>
      <name val="Arial"/>
      <family val="2"/>
    </font>
    <font>
      <sz val="20"/>
      <color theme="1"/>
      <name val="Arial"/>
      <family val="2"/>
    </font>
    <font>
      <sz val="16"/>
      <color theme="0"/>
      <name val="Arial"/>
      <family val="2"/>
    </font>
    <font>
      <sz val="8"/>
      <color theme="0"/>
      <name val="Arial Nova"/>
      <family val="2"/>
    </font>
    <font>
      <u/>
      <sz val="16"/>
      <color theme="0"/>
      <name val="Arial"/>
      <family val="2"/>
    </font>
    <font>
      <sz val="44"/>
      <color theme="0"/>
      <name val="Arial"/>
      <family val="2"/>
    </font>
    <font>
      <u/>
      <sz val="28"/>
      <color theme="10"/>
      <name val="Arial"/>
      <family val="2"/>
    </font>
    <font>
      <sz val="8"/>
      <color rgb="FF000000"/>
      <name val="Arial"/>
      <family val="2"/>
    </font>
  </fonts>
  <fills count="21">
    <fill>
      <patternFill patternType="none"/>
    </fill>
    <fill>
      <patternFill patternType="gray125"/>
    </fill>
    <fill>
      <patternFill patternType="solid">
        <fgColor rgb="FFFFFFFF"/>
        <bgColor rgb="FFFFFFFF"/>
      </patternFill>
    </fill>
    <fill>
      <patternFill patternType="solid">
        <fgColor theme="1"/>
        <bgColor indexed="64"/>
      </patternFill>
    </fill>
    <fill>
      <patternFill patternType="solid">
        <fgColor theme="0"/>
        <bgColor indexed="64"/>
      </patternFill>
    </fill>
    <fill>
      <patternFill patternType="solid">
        <fgColor theme="1"/>
        <bgColor rgb="FFCCCCCC"/>
      </patternFill>
    </fill>
    <fill>
      <patternFill patternType="solid">
        <fgColor theme="0"/>
        <bgColor rgb="FFCCCCCC"/>
      </patternFill>
    </fill>
    <fill>
      <patternFill patternType="solid">
        <fgColor theme="0"/>
        <bgColor rgb="FF000000"/>
      </patternFill>
    </fill>
    <fill>
      <patternFill patternType="solid">
        <fgColor rgb="FF114E4F"/>
        <bgColor indexed="64"/>
      </patternFill>
    </fill>
    <fill>
      <patternFill patternType="solid">
        <fgColor theme="0"/>
        <bgColor rgb="FFE69138"/>
      </patternFill>
    </fill>
    <fill>
      <patternFill patternType="solid">
        <fgColor theme="0"/>
        <bgColor rgb="FFFFFFFF"/>
      </patternFill>
    </fill>
    <fill>
      <patternFill patternType="solid">
        <fgColor theme="1" tint="0.499984740745262"/>
        <bgColor rgb="FFD9D9D9"/>
      </patternFill>
    </fill>
    <fill>
      <patternFill patternType="solid">
        <fgColor theme="1" tint="0.499984740745262"/>
        <bgColor indexed="64"/>
      </patternFill>
    </fill>
    <fill>
      <patternFill patternType="solid">
        <fgColor theme="0"/>
        <bgColor rgb="FFD9D9D9"/>
      </patternFill>
    </fill>
    <fill>
      <patternFill patternType="solid">
        <fgColor theme="0" tint="-0.499984740745262"/>
        <bgColor rgb="FFD9D9D9"/>
      </patternFill>
    </fill>
    <fill>
      <patternFill patternType="solid">
        <fgColor theme="0" tint="-4.9989318521683403E-2"/>
        <bgColor indexed="64"/>
      </patternFill>
    </fill>
    <fill>
      <patternFill patternType="solid">
        <fgColor theme="0" tint="-0.499984740745262"/>
        <bgColor indexed="64"/>
      </patternFill>
    </fill>
    <fill>
      <patternFill patternType="solid">
        <fgColor theme="9"/>
      </patternFill>
    </fill>
    <fill>
      <patternFill patternType="solid">
        <fgColor theme="1"/>
        <bgColor rgb="FF000000"/>
      </patternFill>
    </fill>
    <fill>
      <patternFill patternType="solid">
        <fgColor theme="0" tint="-0.499984740745262"/>
        <bgColor rgb="FF000000"/>
      </patternFill>
    </fill>
    <fill>
      <patternFill patternType="solid">
        <fgColor theme="1" tint="4.9989318521683403E-2"/>
        <bgColor rgb="FF000000"/>
      </patternFill>
    </fill>
  </fills>
  <borders count="17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bottom/>
      <diagonal/>
    </border>
    <border>
      <left/>
      <right/>
      <top/>
      <bottom style="thin">
        <color indexed="64"/>
      </bottom>
      <diagonal/>
    </border>
    <border>
      <left style="thin">
        <color indexed="64"/>
      </left>
      <right/>
      <top style="thin">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left>
      <right/>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diagonal/>
    </border>
    <border>
      <left/>
      <right style="thin">
        <color theme="0"/>
      </right>
      <top style="thin">
        <color theme="0"/>
      </top>
      <bottom/>
      <diagonal/>
    </border>
    <border>
      <left style="thin">
        <color theme="0"/>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theme="0"/>
      </bottom>
      <diagonal/>
    </border>
    <border>
      <left style="thin">
        <color theme="0"/>
      </left>
      <right/>
      <top style="thin">
        <color theme="0"/>
      </top>
      <bottom/>
      <diagonal/>
    </border>
    <border>
      <left style="thin">
        <color indexed="64"/>
      </left>
      <right style="thin">
        <color indexed="64"/>
      </right>
      <top/>
      <bottom/>
      <diagonal/>
    </border>
    <border>
      <left/>
      <right style="thin">
        <color indexed="64"/>
      </right>
      <top/>
      <bottom style="thin">
        <color theme="0"/>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style="thin">
        <color theme="0"/>
      </right>
      <top/>
      <bottom/>
      <diagonal/>
    </border>
    <border>
      <left style="medium">
        <color indexed="64"/>
      </left>
      <right style="thin">
        <color theme="0"/>
      </right>
      <top/>
      <bottom/>
      <diagonal/>
    </border>
    <border>
      <left style="thin">
        <color theme="0"/>
      </left>
      <right style="thin">
        <color theme="0"/>
      </right>
      <top style="thin">
        <color theme="0"/>
      </top>
      <bottom style="medium">
        <color indexed="64"/>
      </bottom>
      <diagonal/>
    </border>
    <border>
      <left style="thin">
        <color rgb="FF114E4F"/>
      </left>
      <right style="thin">
        <color rgb="FF114E4F"/>
      </right>
      <top style="thin">
        <color rgb="FF114E4F"/>
      </top>
      <bottom style="thin">
        <color rgb="FF114E4F"/>
      </bottom>
      <diagonal/>
    </border>
    <border>
      <left style="thin">
        <color theme="1"/>
      </left>
      <right style="thin">
        <color theme="1"/>
      </right>
      <top style="thin">
        <color theme="1"/>
      </top>
      <bottom style="thin">
        <color theme="1"/>
      </bottom>
      <diagonal/>
    </border>
    <border>
      <left/>
      <right/>
      <top style="thin">
        <color theme="1"/>
      </top>
      <bottom/>
      <diagonal/>
    </border>
    <border>
      <left style="thin">
        <color theme="1"/>
      </left>
      <right/>
      <top/>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right style="medium">
        <color theme="1"/>
      </right>
      <top style="thin">
        <color theme="1"/>
      </top>
      <bottom/>
      <diagonal/>
    </border>
    <border>
      <left style="thin">
        <color theme="1"/>
      </left>
      <right style="thin">
        <color theme="1"/>
      </right>
      <top/>
      <bottom style="thin">
        <color theme="1"/>
      </bottom>
      <diagonal/>
    </border>
    <border>
      <left style="thin">
        <color indexed="64"/>
      </left>
      <right/>
      <top/>
      <bottom style="medium">
        <color theme="1"/>
      </bottom>
      <diagonal/>
    </border>
    <border>
      <left/>
      <right style="thin">
        <color indexed="64"/>
      </right>
      <top/>
      <bottom style="medium">
        <color theme="1"/>
      </bottom>
      <diagonal/>
    </border>
    <border>
      <left style="thin">
        <color theme="1"/>
      </left>
      <right style="thin">
        <color theme="1"/>
      </right>
      <top style="thin">
        <color theme="1"/>
      </top>
      <bottom style="medium">
        <color theme="1"/>
      </bottom>
      <diagonal/>
    </border>
    <border>
      <left/>
      <right/>
      <top/>
      <bottom style="thin">
        <color rgb="FF114E4F"/>
      </bottom>
      <diagonal/>
    </border>
    <border>
      <left/>
      <right/>
      <top style="thin">
        <color rgb="FF114E4F"/>
      </top>
      <bottom/>
      <diagonal/>
    </border>
    <border>
      <left/>
      <right/>
      <top style="thin">
        <color rgb="FF114E4F"/>
      </top>
      <bottom style="thin">
        <color rgb="FF114E4F"/>
      </bottom>
      <diagonal/>
    </border>
    <border>
      <left/>
      <right style="thin">
        <color rgb="FF114E4F"/>
      </right>
      <top style="thin">
        <color rgb="FF114E4F"/>
      </top>
      <bottom style="thin">
        <color rgb="FF114E4F"/>
      </bottom>
      <diagonal/>
    </border>
    <border>
      <left style="thin">
        <color theme="0"/>
      </left>
      <right style="thin">
        <color theme="0"/>
      </right>
      <top style="medium">
        <color indexed="64"/>
      </top>
      <bottom style="thin">
        <color theme="0"/>
      </bottom>
      <diagonal/>
    </border>
    <border>
      <left style="medium">
        <color indexed="64"/>
      </left>
      <right style="thin">
        <color theme="0"/>
      </right>
      <top style="thin">
        <color theme="0"/>
      </top>
      <bottom style="thin">
        <color theme="0"/>
      </bottom>
      <diagonal/>
    </border>
    <border>
      <left style="thin">
        <color theme="0"/>
      </left>
      <right style="thin">
        <color theme="0"/>
      </right>
      <top style="medium">
        <color indexed="64"/>
      </top>
      <bottom/>
      <diagonal/>
    </border>
    <border>
      <left style="medium">
        <color indexed="64"/>
      </left>
      <right style="thin">
        <color theme="1"/>
      </right>
      <top/>
      <bottom style="thin">
        <color theme="1"/>
      </bottom>
      <diagonal/>
    </border>
    <border>
      <left style="thin">
        <color theme="1"/>
      </left>
      <right style="medium">
        <color indexed="64"/>
      </right>
      <top/>
      <bottom style="thin">
        <color theme="1"/>
      </bottom>
      <diagonal/>
    </border>
    <border>
      <left/>
      <right style="thin">
        <color theme="1"/>
      </right>
      <top/>
      <bottom/>
      <diagonal/>
    </border>
    <border>
      <left/>
      <right style="thin">
        <color theme="1"/>
      </right>
      <top/>
      <bottom style="medium">
        <color theme="1"/>
      </bottom>
      <diagonal/>
    </border>
    <border>
      <left style="thin">
        <color theme="0"/>
      </left>
      <right style="thin">
        <color theme="1"/>
      </right>
      <top style="thin">
        <color theme="0"/>
      </top>
      <bottom/>
      <diagonal/>
    </border>
    <border>
      <left style="thin">
        <color theme="1"/>
      </left>
      <right/>
      <top style="thin">
        <color theme="1"/>
      </top>
      <bottom style="medium">
        <color theme="1"/>
      </bottom>
      <diagonal/>
    </border>
    <border>
      <left/>
      <right/>
      <top style="thin">
        <color theme="1"/>
      </top>
      <bottom style="medium">
        <color theme="1"/>
      </bottom>
      <diagonal/>
    </border>
    <border>
      <left style="thin">
        <color theme="0"/>
      </left>
      <right style="thin">
        <color theme="0"/>
      </right>
      <top style="medium">
        <color theme="1"/>
      </top>
      <bottom style="thin">
        <color theme="0"/>
      </bottom>
      <diagonal/>
    </border>
    <border>
      <left/>
      <right/>
      <top style="medium">
        <color theme="1"/>
      </top>
      <bottom style="thin">
        <color rgb="FF114E4F"/>
      </bottom>
      <diagonal/>
    </border>
    <border>
      <left style="medium">
        <color theme="1"/>
      </left>
      <right/>
      <top style="thin">
        <color theme="0"/>
      </top>
      <bottom/>
      <diagonal/>
    </border>
    <border>
      <left style="thin">
        <color theme="1"/>
      </left>
      <right/>
      <top style="thin">
        <color theme="1"/>
      </top>
      <bottom/>
      <diagonal/>
    </border>
    <border>
      <left style="thin">
        <color theme="1"/>
      </left>
      <right/>
      <top/>
      <bottom style="thin">
        <color theme="1"/>
      </bottom>
      <diagonal/>
    </border>
    <border>
      <left/>
      <right style="medium">
        <color theme="1"/>
      </right>
      <top/>
      <bottom style="thin">
        <color theme="1"/>
      </bottom>
      <diagonal/>
    </border>
    <border>
      <left/>
      <right/>
      <top style="medium">
        <color theme="1"/>
      </top>
      <bottom style="thin">
        <color theme="1"/>
      </bottom>
      <diagonal/>
    </border>
    <border>
      <left/>
      <right style="medium">
        <color theme="1"/>
      </right>
      <top style="medium">
        <color theme="1"/>
      </top>
      <bottom style="thin">
        <color theme="1"/>
      </bottom>
      <diagonal/>
    </border>
    <border>
      <left style="thin">
        <color theme="1"/>
      </left>
      <right/>
      <top/>
      <bottom style="medium">
        <color theme="1"/>
      </bottom>
      <diagonal/>
    </border>
    <border>
      <left style="thin">
        <color theme="1"/>
      </left>
      <right style="thin">
        <color theme="1"/>
      </right>
      <top style="thin">
        <color theme="1"/>
      </top>
      <bottom/>
      <diagonal/>
    </border>
    <border>
      <left/>
      <right/>
      <top style="thin">
        <color theme="1"/>
      </top>
      <bottom style="thin">
        <color theme="1"/>
      </bottom>
      <diagonal/>
    </border>
    <border>
      <left style="thin">
        <color rgb="FF114E4F"/>
      </left>
      <right/>
      <top style="thin">
        <color rgb="FF114E4F"/>
      </top>
      <bottom style="thin">
        <color rgb="FF114E4F"/>
      </bottom>
      <diagonal/>
    </border>
    <border>
      <left/>
      <right style="thin">
        <color theme="1"/>
      </right>
      <top style="thin">
        <color theme="1"/>
      </top>
      <bottom/>
      <diagonal/>
    </border>
    <border>
      <left/>
      <right style="thin">
        <color theme="1"/>
      </right>
      <top/>
      <bottom style="thin">
        <color theme="1"/>
      </bottom>
      <diagonal/>
    </border>
    <border>
      <left/>
      <right/>
      <top/>
      <bottom style="thin">
        <color theme="1"/>
      </bottom>
      <diagonal/>
    </border>
    <border>
      <left/>
      <right/>
      <top style="thin">
        <color theme="0"/>
      </top>
      <bottom style="thin">
        <color theme="0"/>
      </bottom>
      <diagonal/>
    </border>
    <border>
      <left/>
      <right style="thin">
        <color theme="0"/>
      </right>
      <top/>
      <bottom/>
      <diagonal/>
    </border>
    <border>
      <left/>
      <right style="thin">
        <color theme="0"/>
      </right>
      <top/>
      <bottom style="thin">
        <color theme="0"/>
      </bottom>
      <diagonal/>
    </border>
    <border>
      <left/>
      <right/>
      <top style="thin">
        <color theme="0"/>
      </top>
      <bottom/>
      <diagonal/>
    </border>
    <border>
      <left style="medium">
        <color theme="1"/>
      </left>
      <right style="medium">
        <color theme="1"/>
      </right>
      <top style="medium">
        <color theme="1"/>
      </top>
      <bottom/>
      <diagonal/>
    </border>
    <border>
      <left style="medium">
        <color theme="1"/>
      </left>
      <right style="medium">
        <color theme="1"/>
      </right>
      <top/>
      <bottom/>
      <diagonal/>
    </border>
    <border>
      <left style="medium">
        <color theme="1"/>
      </left>
      <right style="medium">
        <color theme="1"/>
      </right>
      <top/>
      <bottom style="medium">
        <color theme="1"/>
      </bottom>
      <diagonal/>
    </border>
    <border>
      <left style="thin">
        <color theme="1"/>
      </left>
      <right style="medium">
        <color theme="1"/>
      </right>
      <top style="thin">
        <color theme="1"/>
      </top>
      <bottom style="thin">
        <color theme="1"/>
      </bottom>
      <diagonal/>
    </border>
    <border>
      <left style="thin">
        <color theme="1"/>
      </left>
      <right style="medium">
        <color theme="1"/>
      </right>
      <top style="thin">
        <color theme="1"/>
      </top>
      <bottom/>
      <diagonal/>
    </border>
    <border>
      <left style="thin">
        <color indexed="64"/>
      </left>
      <right style="thin">
        <color indexed="64"/>
      </right>
      <top style="thin">
        <color indexed="64"/>
      </top>
      <bottom style="medium">
        <color theme="1"/>
      </bottom>
      <diagonal/>
    </border>
    <border>
      <left/>
      <right style="thin">
        <color rgb="FF114E4F"/>
      </right>
      <top style="thin">
        <color rgb="FF114E4F"/>
      </top>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medium">
        <color theme="1"/>
      </left>
      <right style="thin">
        <color theme="1"/>
      </right>
      <top style="thin">
        <color theme="1"/>
      </top>
      <bottom style="thin">
        <color theme="1"/>
      </bottom>
      <diagonal/>
    </border>
    <border>
      <left style="medium">
        <color theme="1"/>
      </left>
      <right style="thin">
        <color theme="1"/>
      </right>
      <top style="thin">
        <color theme="1"/>
      </top>
      <bottom style="medium">
        <color theme="1"/>
      </bottom>
      <diagonal/>
    </border>
    <border>
      <left style="thin">
        <color theme="1"/>
      </left>
      <right style="medium">
        <color theme="1"/>
      </right>
      <top style="thin">
        <color theme="1"/>
      </top>
      <bottom style="medium">
        <color theme="1"/>
      </bottom>
      <diagonal/>
    </border>
    <border>
      <left style="medium">
        <color theme="1"/>
      </left>
      <right/>
      <top style="medium">
        <color theme="1"/>
      </top>
      <bottom style="thin">
        <color theme="1"/>
      </bottom>
      <diagonal/>
    </border>
    <border>
      <left style="medium">
        <color theme="1"/>
      </left>
      <right/>
      <top style="thin">
        <color theme="1"/>
      </top>
      <bottom style="thin">
        <color theme="1"/>
      </bottom>
      <diagonal/>
    </border>
    <border>
      <left style="medium">
        <color theme="1"/>
      </left>
      <right/>
      <top style="thin">
        <color theme="1"/>
      </top>
      <bottom style="medium">
        <color theme="1"/>
      </bottom>
      <diagonal/>
    </border>
    <border>
      <left/>
      <right style="thin">
        <color theme="1"/>
      </right>
      <top style="thin">
        <color theme="1"/>
      </top>
      <bottom style="medium">
        <color theme="1"/>
      </bottom>
      <diagonal/>
    </border>
    <border>
      <left/>
      <right style="thin">
        <color rgb="FF114E4F"/>
      </right>
      <top/>
      <bottom style="thin">
        <color rgb="FF114E4F"/>
      </bottom>
      <diagonal/>
    </border>
    <border>
      <left style="thin">
        <color rgb="FF114E4F"/>
      </left>
      <right style="thin">
        <color rgb="FF114E4F"/>
      </right>
      <top/>
      <bottom style="thin">
        <color rgb="FF114E4F"/>
      </bottom>
      <diagonal/>
    </border>
    <border>
      <left style="thin">
        <color theme="0"/>
      </left>
      <right/>
      <top style="thin">
        <color theme="0"/>
      </top>
      <bottom style="medium">
        <color indexed="64"/>
      </bottom>
      <diagonal/>
    </border>
    <border>
      <left/>
      <right style="thin">
        <color theme="0"/>
      </right>
      <top style="thin">
        <color theme="0"/>
      </top>
      <bottom style="medium">
        <color indexed="64"/>
      </bottom>
      <diagonal/>
    </border>
    <border>
      <left/>
      <right style="thin">
        <color theme="0"/>
      </right>
      <top style="medium">
        <color indexed="64"/>
      </top>
      <bottom style="thin">
        <color theme="0"/>
      </bottom>
      <diagonal/>
    </border>
    <border>
      <left style="medium">
        <color theme="1"/>
      </left>
      <right/>
      <top style="thin">
        <color theme="1"/>
      </top>
      <bottom/>
      <diagonal/>
    </border>
    <border>
      <left style="medium">
        <color theme="1"/>
      </left>
      <right style="thin">
        <color theme="1"/>
      </right>
      <top/>
      <bottom/>
      <diagonal/>
    </border>
    <border>
      <left style="thin">
        <color theme="0"/>
      </left>
      <right style="thin">
        <color theme="0"/>
      </right>
      <top/>
      <bottom style="medium">
        <color theme="1"/>
      </bottom>
      <diagonal/>
    </border>
    <border>
      <left/>
      <right style="thin">
        <color theme="1"/>
      </right>
      <top style="medium">
        <color theme="1"/>
      </top>
      <bottom/>
      <diagonal/>
    </border>
    <border>
      <left style="medium">
        <color theme="1"/>
      </left>
      <right style="thin">
        <color indexed="64"/>
      </right>
      <top/>
      <bottom/>
      <diagonal/>
    </border>
    <border>
      <left style="thin">
        <color indexed="64"/>
      </left>
      <right style="medium">
        <color theme="1"/>
      </right>
      <top/>
      <bottom/>
      <diagonal/>
    </border>
    <border>
      <left style="medium">
        <color theme="1"/>
      </left>
      <right style="thin">
        <color indexed="64"/>
      </right>
      <top/>
      <bottom style="medium">
        <color theme="1"/>
      </bottom>
      <diagonal/>
    </border>
    <border>
      <left style="thin">
        <color indexed="64"/>
      </left>
      <right style="thin">
        <color indexed="64"/>
      </right>
      <top/>
      <bottom style="medium">
        <color theme="1"/>
      </bottom>
      <diagonal/>
    </border>
    <border>
      <left style="thin">
        <color indexed="64"/>
      </left>
      <right style="medium">
        <color theme="1"/>
      </right>
      <top/>
      <bottom style="medium">
        <color theme="1"/>
      </bottom>
      <diagonal/>
    </border>
    <border>
      <left style="medium">
        <color theme="1"/>
      </left>
      <right style="thin">
        <color theme="1"/>
      </right>
      <top style="thin">
        <color theme="1"/>
      </top>
      <bottom/>
      <diagonal/>
    </border>
    <border>
      <left style="medium">
        <color theme="1"/>
      </left>
      <right style="thin">
        <color indexed="64"/>
      </right>
      <top style="thin">
        <color indexed="64"/>
      </top>
      <bottom style="thin">
        <color indexed="64"/>
      </bottom>
      <diagonal/>
    </border>
    <border>
      <left style="medium">
        <color theme="1"/>
      </left>
      <right style="thin">
        <color indexed="64"/>
      </right>
      <top style="thin">
        <color indexed="64"/>
      </top>
      <bottom style="medium">
        <color theme="1"/>
      </bottom>
      <diagonal/>
    </border>
    <border>
      <left style="thin">
        <color theme="1"/>
      </left>
      <right/>
      <top style="medium">
        <color theme="1"/>
      </top>
      <bottom style="thin">
        <color theme="1"/>
      </bottom>
      <diagonal/>
    </border>
    <border>
      <left/>
      <right style="medium">
        <color theme="1"/>
      </right>
      <top style="thin">
        <color theme="0"/>
      </top>
      <bottom/>
      <diagonal/>
    </border>
    <border>
      <left/>
      <right style="medium">
        <color theme="1"/>
      </right>
      <top/>
      <bottom style="thin">
        <color theme="0"/>
      </bottom>
      <diagonal/>
    </border>
    <border>
      <left style="thin">
        <color theme="0"/>
      </left>
      <right/>
      <top style="medium">
        <color indexed="64"/>
      </top>
      <bottom/>
      <diagonal/>
    </border>
    <border>
      <left style="thin">
        <color theme="0"/>
      </left>
      <right/>
      <top style="medium">
        <color indexed="64"/>
      </top>
      <bottom style="thin">
        <color theme="0"/>
      </bottom>
      <diagonal/>
    </border>
    <border>
      <left style="thin">
        <color theme="1"/>
      </left>
      <right style="medium">
        <color theme="1"/>
      </right>
      <top/>
      <bottom/>
      <diagonal/>
    </border>
    <border>
      <left style="thin">
        <color theme="1"/>
      </left>
      <right style="medium">
        <color theme="1"/>
      </right>
      <top/>
      <bottom style="thin">
        <color theme="1"/>
      </bottom>
      <diagonal/>
    </border>
    <border>
      <left/>
      <right style="medium">
        <color theme="1"/>
      </right>
      <top style="thin">
        <color theme="1"/>
      </top>
      <bottom style="medium">
        <color theme="1"/>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thin">
        <color theme="1"/>
      </left>
      <right style="medium">
        <color theme="1"/>
      </right>
      <top/>
      <bottom style="medium">
        <color theme="1"/>
      </bottom>
      <diagonal/>
    </border>
    <border>
      <left style="medium">
        <color indexed="64"/>
      </left>
      <right style="thin">
        <color theme="0"/>
      </right>
      <top style="medium">
        <color indexed="64"/>
      </top>
      <bottom/>
      <diagonal/>
    </border>
    <border>
      <left style="thin">
        <color theme="1"/>
      </left>
      <right style="thin">
        <color theme="1"/>
      </right>
      <top style="medium">
        <color indexed="64"/>
      </top>
      <bottom style="thin">
        <color theme="1"/>
      </bottom>
      <diagonal/>
    </border>
    <border>
      <left style="thin">
        <color theme="1"/>
      </left>
      <right style="medium">
        <color indexed="64"/>
      </right>
      <top style="medium">
        <color indexed="64"/>
      </top>
      <bottom style="thin">
        <color theme="1"/>
      </bottom>
      <diagonal/>
    </border>
    <border>
      <left style="medium">
        <color indexed="64"/>
      </left>
      <right style="thin">
        <color theme="1"/>
      </right>
      <top style="thin">
        <color theme="1"/>
      </top>
      <bottom style="thin">
        <color theme="1"/>
      </bottom>
      <diagonal/>
    </border>
    <border>
      <left style="thin">
        <color theme="1"/>
      </left>
      <right style="medium">
        <color indexed="64"/>
      </right>
      <top style="thin">
        <color theme="1"/>
      </top>
      <bottom style="thin">
        <color theme="1"/>
      </bottom>
      <diagonal/>
    </border>
    <border>
      <left style="thin">
        <color theme="1"/>
      </left>
      <right style="medium">
        <color indexed="64"/>
      </right>
      <top style="thin">
        <color theme="1"/>
      </top>
      <bottom/>
      <diagonal/>
    </border>
    <border>
      <left style="thin">
        <color theme="1"/>
      </left>
      <right style="medium">
        <color indexed="64"/>
      </right>
      <top/>
      <bottom/>
      <diagonal/>
    </border>
    <border>
      <left style="thin">
        <color theme="1"/>
      </left>
      <right style="thin">
        <color theme="1"/>
      </right>
      <top style="thin">
        <color theme="1"/>
      </top>
      <bottom style="medium">
        <color indexed="64"/>
      </bottom>
      <diagonal/>
    </border>
    <border>
      <left style="thin">
        <color theme="1"/>
      </left>
      <right style="medium">
        <color indexed="64"/>
      </right>
      <top/>
      <bottom style="medium">
        <color indexed="64"/>
      </bottom>
      <diagonal/>
    </border>
    <border>
      <left/>
      <right style="thin">
        <color theme="1"/>
      </right>
      <top style="thin">
        <color theme="1"/>
      </top>
      <bottom style="medium">
        <color indexed="64"/>
      </bottom>
      <diagonal/>
    </border>
    <border>
      <left style="medium">
        <color indexed="64"/>
      </left>
      <right style="thin">
        <color theme="1"/>
      </right>
      <top style="thin">
        <color theme="1"/>
      </top>
      <bottom/>
      <diagonal/>
    </border>
    <border>
      <left style="thin">
        <color rgb="FF114E4F"/>
      </left>
      <right style="thin">
        <color rgb="FF114E4F"/>
      </right>
      <top style="thin">
        <color rgb="FF114E4F"/>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theme="1"/>
      </right>
      <top style="medium">
        <color indexed="64"/>
      </top>
      <bottom style="thin">
        <color theme="1"/>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theme="0"/>
      </left>
      <right style="medium">
        <color indexed="64"/>
      </right>
      <top style="medium">
        <color indexed="64"/>
      </top>
      <bottom/>
      <diagonal/>
    </border>
    <border>
      <left style="thin">
        <color rgb="FF114E4F"/>
      </left>
      <right style="medium">
        <color indexed="64"/>
      </right>
      <top/>
      <bottom style="thin">
        <color rgb="FF114E4F"/>
      </bottom>
      <diagonal/>
    </border>
    <border>
      <left style="thin">
        <color rgb="FF114E4F"/>
      </left>
      <right style="medium">
        <color indexed="64"/>
      </right>
      <top style="thin">
        <color rgb="FF114E4F"/>
      </top>
      <bottom style="thin">
        <color rgb="FF114E4F"/>
      </bottom>
      <diagonal/>
    </border>
    <border>
      <left style="thin">
        <color rgb="FF114E4F"/>
      </left>
      <right style="medium">
        <color indexed="64"/>
      </right>
      <top style="thin">
        <color rgb="FF114E4F"/>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theme="1"/>
      </top>
      <bottom/>
      <diagonal/>
    </border>
    <border>
      <left/>
      <right style="medium">
        <color indexed="64"/>
      </right>
      <top style="medium">
        <color theme="1"/>
      </top>
      <bottom/>
      <diagonal/>
    </border>
    <border>
      <left style="medium">
        <color indexed="64"/>
      </left>
      <right/>
      <top/>
      <bottom style="medium">
        <color theme="1"/>
      </bottom>
      <diagonal/>
    </border>
    <border>
      <left/>
      <right style="medium">
        <color indexed="64"/>
      </right>
      <top/>
      <bottom style="medium">
        <color theme="1"/>
      </bottom>
      <diagonal/>
    </border>
    <border>
      <left style="medium">
        <color theme="1"/>
      </left>
      <right/>
      <top/>
      <bottom style="medium">
        <color indexed="64"/>
      </bottom>
      <diagonal/>
    </border>
    <border>
      <left/>
      <right style="medium">
        <color theme="1"/>
      </right>
      <top/>
      <bottom style="medium">
        <color indexed="64"/>
      </bottom>
      <diagonal/>
    </border>
    <border>
      <left style="medium">
        <color theme="1"/>
      </left>
      <right/>
      <top style="medium">
        <color indexed="64"/>
      </top>
      <bottom/>
      <diagonal/>
    </border>
    <border>
      <left style="thin">
        <color theme="0"/>
      </left>
      <right style="medium">
        <color theme="1"/>
      </right>
      <top style="medium">
        <color indexed="64"/>
      </top>
      <bottom style="thin">
        <color theme="0"/>
      </bottom>
      <diagonal/>
    </border>
    <border>
      <left style="thin">
        <color theme="0"/>
      </left>
      <right style="medium">
        <color theme="1"/>
      </right>
      <top/>
      <bottom style="thin">
        <color theme="0"/>
      </bottom>
      <diagonal/>
    </border>
    <border>
      <left style="thin">
        <color theme="0"/>
      </left>
      <right style="medium">
        <color theme="1"/>
      </right>
      <top style="thin">
        <color theme="0"/>
      </top>
      <bottom style="thin">
        <color theme="0"/>
      </bottom>
      <diagonal/>
    </border>
    <border>
      <left style="thin">
        <color theme="0"/>
      </left>
      <right style="medium">
        <color theme="1"/>
      </right>
      <top/>
      <bottom/>
      <diagonal/>
    </border>
  </borders>
  <cellStyleXfs count="6">
    <xf numFmtId="0" fontId="0" fillId="0" borderId="0"/>
    <xf numFmtId="9" fontId="3" fillId="0" borderId="0" applyFont="0" applyFill="0" applyBorder="0" applyAlignment="0" applyProtection="0"/>
    <xf numFmtId="0" fontId="6" fillId="0" borderId="0" applyNumberFormat="0" applyFill="0" applyBorder="0" applyAlignment="0" applyProtection="0"/>
    <xf numFmtId="0" fontId="4" fillId="0" borderId="0"/>
    <xf numFmtId="9" fontId="4" fillId="0" borderId="0" applyFont="0" applyFill="0" applyBorder="0" applyAlignment="0" applyProtection="0"/>
    <xf numFmtId="0" fontId="46" fillId="17" borderId="0" applyNumberFormat="0" applyBorder="0" applyAlignment="0" applyProtection="0"/>
  </cellStyleXfs>
  <cellXfs count="695">
    <xf numFmtId="0" fontId="0" fillId="0" borderId="0" xfId="0"/>
    <xf numFmtId="1" fontId="0" fillId="0" borderId="2" xfId="1" applyNumberFormat="1" applyFont="1" applyBorder="1" applyAlignment="1"/>
    <xf numFmtId="0" fontId="21" fillId="0" borderId="0" xfId="0" applyFont="1"/>
    <xf numFmtId="0" fontId="0" fillId="4" borderId="47" xfId="0" applyFill="1" applyBorder="1"/>
    <xf numFmtId="0" fontId="0" fillId="0" borderId="0" xfId="0" applyAlignment="1">
      <alignment wrapText="1"/>
    </xf>
    <xf numFmtId="0" fontId="0" fillId="4" borderId="0" xfId="0" applyFill="1"/>
    <xf numFmtId="9" fontId="0" fillId="0" borderId="0" xfId="0" applyNumberFormat="1" applyAlignment="1">
      <alignment wrapText="1"/>
    </xf>
    <xf numFmtId="9" fontId="0" fillId="0" borderId="0" xfId="1" applyFont="1" applyAlignment="1"/>
    <xf numFmtId="0" fontId="3" fillId="0" borderId="0" xfId="0" applyFont="1"/>
    <xf numFmtId="0" fontId="0" fillId="0" borderId="0" xfId="0" applyAlignment="1">
      <alignment horizontal="center"/>
    </xf>
    <xf numFmtId="9" fontId="0" fillId="0" borderId="0" xfId="0" applyNumberFormat="1"/>
    <xf numFmtId="0" fontId="3" fillId="0" borderId="0" xfId="0" applyFont="1" applyAlignment="1">
      <alignment wrapText="1"/>
    </xf>
    <xf numFmtId="0" fontId="0" fillId="0" borderId="0" xfId="0" applyProtection="1">
      <protection locked="0"/>
    </xf>
    <xf numFmtId="0" fontId="0" fillId="0" borderId="16" xfId="0" applyBorder="1" applyProtection="1">
      <protection locked="0"/>
    </xf>
    <xf numFmtId="0" fontId="0" fillId="0" borderId="13" xfId="0" applyBorder="1" applyProtection="1">
      <protection locked="0"/>
    </xf>
    <xf numFmtId="9" fontId="0" fillId="0" borderId="0" xfId="0" applyNumberFormat="1" applyProtection="1">
      <protection locked="0"/>
    </xf>
    <xf numFmtId="0" fontId="0" fillId="0" borderId="0" xfId="0" applyAlignment="1" applyProtection="1">
      <alignment horizontal="center"/>
      <protection locked="0"/>
    </xf>
    <xf numFmtId="0" fontId="0" fillId="0" borderId="17" xfId="0" applyBorder="1" applyProtection="1">
      <protection locked="0"/>
    </xf>
    <xf numFmtId="0" fontId="0" fillId="0" borderId="18" xfId="0" applyBorder="1" applyProtection="1">
      <protection locked="0"/>
    </xf>
    <xf numFmtId="0" fontId="0" fillId="0" borderId="3" xfId="0" applyBorder="1" applyProtection="1">
      <protection locked="0"/>
    </xf>
    <xf numFmtId="165" fontId="1" fillId="11" borderId="60" xfId="0" applyNumberFormat="1" applyFont="1" applyFill="1" applyBorder="1" applyAlignment="1">
      <alignment horizontal="center"/>
    </xf>
    <xf numFmtId="0" fontId="0" fillId="0" borderId="0" xfId="0" applyAlignment="1">
      <alignment horizontal="center" vertical="center"/>
    </xf>
    <xf numFmtId="0" fontId="0" fillId="0" borderId="20" xfId="0" applyBorder="1"/>
    <xf numFmtId="0" fontId="0" fillId="4" borderId="1" xfId="0" applyFill="1" applyBorder="1"/>
    <xf numFmtId="1" fontId="0" fillId="12" borderId="28" xfId="0" applyNumberFormat="1" applyFill="1" applyBorder="1"/>
    <xf numFmtId="1" fontId="0" fillId="12" borderId="2" xfId="0" applyNumberFormat="1" applyFill="1" applyBorder="1"/>
    <xf numFmtId="164" fontId="0" fillId="12" borderId="2" xfId="0" applyNumberFormat="1" applyFill="1" applyBorder="1"/>
    <xf numFmtId="1" fontId="0" fillId="12" borderId="2" xfId="1" applyNumberFormat="1" applyFont="1" applyFill="1" applyBorder="1" applyAlignment="1"/>
    <xf numFmtId="0" fontId="0" fillId="12" borderId="2" xfId="0" applyFill="1" applyBorder="1"/>
    <xf numFmtId="1" fontId="0" fillId="12" borderId="15" xfId="0" applyNumberFormat="1" applyFill="1" applyBorder="1"/>
    <xf numFmtId="1" fontId="0" fillId="12" borderId="47" xfId="0" applyNumberFormat="1" applyFill="1" applyBorder="1"/>
    <xf numFmtId="0" fontId="0" fillId="12" borderId="1" xfId="0" applyFill="1" applyBorder="1"/>
    <xf numFmtId="0" fontId="19" fillId="3" borderId="20" xfId="0" applyFont="1" applyFill="1" applyBorder="1" applyProtection="1">
      <protection locked="0"/>
    </xf>
    <xf numFmtId="0" fontId="19" fillId="3" borderId="25" xfId="0" applyFont="1" applyFill="1" applyBorder="1" applyProtection="1">
      <protection locked="0"/>
    </xf>
    <xf numFmtId="0" fontId="19" fillId="3" borderId="22" xfId="0" applyFont="1" applyFill="1" applyBorder="1" applyProtection="1">
      <protection locked="0"/>
    </xf>
    <xf numFmtId="0" fontId="19" fillId="3" borderId="23" xfId="0" applyFont="1" applyFill="1" applyBorder="1" applyProtection="1">
      <protection locked="0"/>
    </xf>
    <xf numFmtId="0" fontId="19" fillId="3" borderId="30" xfId="0" applyFont="1" applyFill="1" applyBorder="1" applyProtection="1">
      <protection locked="0"/>
    </xf>
    <xf numFmtId="0" fontId="19" fillId="3" borderId="21" xfId="0" applyFont="1" applyFill="1" applyBorder="1" applyProtection="1">
      <protection locked="0"/>
    </xf>
    <xf numFmtId="0" fontId="5" fillId="3" borderId="20" xfId="0" applyFont="1" applyFill="1" applyBorder="1" applyProtection="1">
      <protection locked="0"/>
    </xf>
    <xf numFmtId="0" fontId="19" fillId="3" borderId="24" xfId="0" applyFont="1" applyFill="1" applyBorder="1" applyProtection="1">
      <protection locked="0"/>
    </xf>
    <xf numFmtId="0" fontId="19" fillId="3" borderId="0" xfId="0" applyFont="1" applyFill="1" applyProtection="1">
      <protection locked="0"/>
    </xf>
    <xf numFmtId="0" fontId="19" fillId="3" borderId="68" xfId="0" applyFont="1" applyFill="1" applyBorder="1" applyProtection="1">
      <protection locked="0"/>
    </xf>
    <xf numFmtId="0" fontId="7" fillId="9" borderId="46" xfId="0" applyFont="1" applyFill="1" applyBorder="1" applyProtection="1">
      <protection locked="0"/>
    </xf>
    <xf numFmtId="0" fontId="1" fillId="10" borderId="46" xfId="0" applyFont="1" applyFill="1" applyBorder="1" applyProtection="1">
      <protection locked="0"/>
    </xf>
    <xf numFmtId="0" fontId="1" fillId="10" borderId="60" xfId="0" applyFont="1" applyFill="1" applyBorder="1" applyProtection="1">
      <protection locked="0"/>
    </xf>
    <xf numFmtId="0" fontId="21" fillId="0" borderId="56" xfId="0" applyFont="1" applyBorder="1" applyAlignment="1">
      <alignment horizontal="left"/>
    </xf>
    <xf numFmtId="14" fontId="21" fillId="10" borderId="56" xfId="0" applyNumberFormat="1" applyFont="1" applyFill="1" applyBorder="1" applyAlignment="1">
      <alignment horizontal="left"/>
    </xf>
    <xf numFmtId="0" fontId="2" fillId="2" borderId="43" xfId="0" applyFont="1" applyFill="1" applyBorder="1"/>
    <xf numFmtId="0" fontId="1" fillId="0" borderId="43" xfId="0" applyFont="1" applyBorder="1"/>
    <xf numFmtId="0" fontId="0" fillId="0" borderId="43" xfId="0" applyBorder="1"/>
    <xf numFmtId="0" fontId="0" fillId="0" borderId="25" xfId="0" applyBorder="1"/>
    <xf numFmtId="0" fontId="20" fillId="7" borderId="0" xfId="0" applyFont="1" applyFill="1" applyAlignment="1">
      <alignment horizontal="center"/>
    </xf>
    <xf numFmtId="0" fontId="24" fillId="7" borderId="0" xfId="0" applyFont="1" applyFill="1" applyAlignment="1">
      <alignment horizontal="left" vertical="top" wrapText="1"/>
    </xf>
    <xf numFmtId="0" fontId="20" fillId="6" borderId="0" xfId="0" applyFont="1" applyFill="1" applyAlignment="1">
      <alignment horizontal="center"/>
    </xf>
    <xf numFmtId="0" fontId="22" fillId="6" borderId="0" xfId="0" applyFont="1" applyFill="1" applyAlignment="1">
      <alignment horizontal="left" vertical="top" wrapText="1"/>
    </xf>
    <xf numFmtId="0" fontId="11" fillId="6" borderId="0" xfId="0" applyFont="1" applyFill="1" applyAlignment="1">
      <alignment horizontal="center"/>
    </xf>
    <xf numFmtId="0" fontId="20" fillId="4" borderId="0" xfId="0" applyFont="1" applyFill="1" applyAlignment="1">
      <alignment horizontal="center"/>
    </xf>
    <xf numFmtId="0" fontId="37" fillId="4" borderId="0" xfId="0" applyFont="1" applyFill="1" applyAlignment="1">
      <alignment horizontal="center" vertical="center"/>
    </xf>
    <xf numFmtId="9" fontId="0" fillId="0" borderId="0" xfId="1" applyFont="1" applyAlignment="1" applyProtection="1"/>
    <xf numFmtId="9" fontId="0" fillId="0" borderId="0" xfId="1" applyFont="1" applyAlignment="1" applyProtection="1">
      <alignment wrapText="1"/>
    </xf>
    <xf numFmtId="0" fontId="9" fillId="4" borderId="42" xfId="0" applyFont="1" applyFill="1" applyBorder="1"/>
    <xf numFmtId="0" fontId="9" fillId="4" borderId="23" xfId="0" applyFont="1" applyFill="1" applyBorder="1"/>
    <xf numFmtId="0" fontId="9" fillId="4" borderId="0" xfId="0" applyFont="1" applyFill="1"/>
    <xf numFmtId="0" fontId="0" fillId="4" borderId="43" xfId="0" applyFill="1" applyBorder="1"/>
    <xf numFmtId="0" fontId="9" fillId="4" borderId="43" xfId="0" applyFont="1" applyFill="1" applyBorder="1"/>
    <xf numFmtId="0" fontId="14" fillId="4" borderId="0" xfId="0" applyFont="1" applyFill="1"/>
    <xf numFmtId="165" fontId="9" fillId="4" borderId="0" xfId="1" applyNumberFormat="1" applyFont="1" applyFill="1" applyBorder="1" applyAlignment="1" applyProtection="1"/>
    <xf numFmtId="14" fontId="9" fillId="4" borderId="23" xfId="0" applyNumberFormat="1" applyFont="1" applyFill="1" applyBorder="1"/>
    <xf numFmtId="0" fontId="0" fillId="4" borderId="19" xfId="0" applyFill="1" applyBorder="1" applyProtection="1">
      <protection locked="0"/>
    </xf>
    <xf numFmtId="0" fontId="0" fillId="4" borderId="11" xfId="0" applyFill="1" applyBorder="1" applyProtection="1">
      <protection locked="0"/>
    </xf>
    <xf numFmtId="0" fontId="0" fillId="4" borderId="1" xfId="0" applyFill="1" applyBorder="1" applyProtection="1">
      <protection locked="0"/>
    </xf>
    <xf numFmtId="0" fontId="0" fillId="4" borderId="12" xfId="0" applyFill="1" applyBorder="1" applyProtection="1">
      <protection locked="0"/>
    </xf>
    <xf numFmtId="0" fontId="0" fillId="0" borderId="16" xfId="0" applyBorder="1"/>
    <xf numFmtId="164" fontId="0" fillId="4" borderId="47" xfId="0" applyNumberFormat="1" applyFill="1" applyBorder="1"/>
    <xf numFmtId="0" fontId="0" fillId="0" borderId="13" xfId="0" applyBorder="1"/>
    <xf numFmtId="0" fontId="0" fillId="0" borderId="47" xfId="0" applyBorder="1"/>
    <xf numFmtId="0" fontId="19" fillId="0" borderId="0" xfId="0" applyFont="1" applyAlignment="1">
      <alignment horizontal="center"/>
    </xf>
    <xf numFmtId="164" fontId="0" fillId="4" borderId="50" xfId="0" applyNumberFormat="1" applyFill="1" applyBorder="1"/>
    <xf numFmtId="2" fontId="0" fillId="0" borderId="0" xfId="0" applyNumberFormat="1"/>
    <xf numFmtId="2" fontId="0" fillId="0" borderId="0" xfId="1" applyNumberFormat="1" applyFont="1" applyBorder="1" applyAlignment="1" applyProtection="1"/>
    <xf numFmtId="0" fontId="0" fillId="0" borderId="17" xfId="0" applyBorder="1"/>
    <xf numFmtId="0" fontId="0" fillId="0" borderId="18" xfId="0" applyBorder="1"/>
    <xf numFmtId="0" fontId="0" fillId="0" borderId="3" xfId="0" applyBorder="1"/>
    <xf numFmtId="0" fontId="21" fillId="4" borderId="0" xfId="0" applyFont="1" applyFill="1"/>
    <xf numFmtId="0" fontId="21" fillId="0" borderId="0" xfId="0" applyFont="1" applyAlignment="1">
      <alignment vertical="top" wrapText="1"/>
    </xf>
    <xf numFmtId="0" fontId="9" fillId="9" borderId="0" xfId="0" applyFont="1" applyFill="1" applyProtection="1">
      <protection locked="0"/>
    </xf>
    <xf numFmtId="164" fontId="10" fillId="4" borderId="0" xfId="0" applyNumberFormat="1" applyFont="1" applyFill="1" applyProtection="1">
      <protection locked="0"/>
    </xf>
    <xf numFmtId="0" fontId="9" fillId="9" borderId="47" xfId="0" applyFont="1" applyFill="1" applyBorder="1" applyProtection="1">
      <protection locked="0"/>
    </xf>
    <xf numFmtId="164" fontId="10" fillId="4" borderId="47" xfId="0" applyNumberFormat="1" applyFont="1" applyFill="1" applyBorder="1" applyProtection="1">
      <protection locked="0"/>
    </xf>
    <xf numFmtId="0" fontId="14" fillId="9" borderId="0" xfId="0" applyFont="1" applyFill="1" applyAlignment="1">
      <alignment horizontal="left"/>
    </xf>
    <xf numFmtId="9" fontId="10" fillId="13" borderId="0" xfId="1" applyFont="1" applyFill="1" applyBorder="1" applyAlignment="1" applyProtection="1"/>
    <xf numFmtId="164" fontId="10" fillId="11" borderId="47" xfId="0" applyNumberFormat="1" applyFont="1" applyFill="1" applyBorder="1"/>
    <xf numFmtId="0" fontId="7" fillId="9" borderId="47" xfId="0" applyFont="1" applyFill="1" applyBorder="1" applyProtection="1">
      <protection locked="0"/>
    </xf>
    <xf numFmtId="164" fontId="7" fillId="11" borderId="47" xfId="0" applyNumberFormat="1" applyFont="1" applyFill="1" applyBorder="1"/>
    <xf numFmtId="164" fontId="7" fillId="11" borderId="47" xfId="1" applyNumberFormat="1" applyFont="1" applyFill="1" applyBorder="1" applyAlignment="1" applyProtection="1"/>
    <xf numFmtId="164" fontId="10" fillId="14" borderId="47" xfId="0" applyNumberFormat="1" applyFont="1" applyFill="1" applyBorder="1"/>
    <xf numFmtId="0" fontId="0" fillId="3" borderId="0" xfId="0" applyFill="1"/>
    <xf numFmtId="0" fontId="44" fillId="4" borderId="0" xfId="0" applyFont="1" applyFill="1" applyAlignment="1">
      <alignment horizontal="center" vertical="center" textRotation="90" wrapText="1"/>
    </xf>
    <xf numFmtId="0" fontId="14" fillId="4" borderId="0" xfId="0" applyFont="1" applyFill="1" applyAlignment="1">
      <alignment horizontal="left"/>
    </xf>
    <xf numFmtId="0" fontId="0" fillId="0" borderId="22" xfId="0" applyBorder="1"/>
    <xf numFmtId="0" fontId="0" fillId="0" borderId="86" xfId="0" applyBorder="1"/>
    <xf numFmtId="0" fontId="0" fillId="0" borderId="23" xfId="0" applyBorder="1"/>
    <xf numFmtId="0" fontId="0" fillId="0" borderId="42" xfId="0" applyBorder="1"/>
    <xf numFmtId="0" fontId="0" fillId="4" borderId="87" xfId="0" applyFill="1" applyBorder="1"/>
    <xf numFmtId="0" fontId="9" fillId="4" borderId="87" xfId="0" applyFont="1" applyFill="1" applyBorder="1"/>
    <xf numFmtId="0" fontId="9" fillId="4" borderId="24" xfId="0" applyFont="1" applyFill="1" applyBorder="1"/>
    <xf numFmtId="0" fontId="9" fillId="4" borderId="88" xfId="0" applyFont="1" applyFill="1" applyBorder="1"/>
    <xf numFmtId="0" fontId="9" fillId="9" borderId="50" xfId="0" applyFont="1" applyFill="1" applyBorder="1" applyProtection="1">
      <protection locked="0"/>
    </xf>
    <xf numFmtId="0" fontId="7" fillId="9" borderId="93" xfId="0" applyFont="1" applyFill="1" applyBorder="1" applyProtection="1">
      <protection locked="0"/>
    </xf>
    <xf numFmtId="0" fontId="7" fillId="9" borderId="56" xfId="0" applyFont="1" applyFill="1" applyBorder="1" applyProtection="1">
      <protection locked="0"/>
    </xf>
    <xf numFmtId="0" fontId="7" fillId="9" borderId="102" xfId="0" applyFont="1" applyFill="1" applyBorder="1" applyProtection="1">
      <protection locked="0"/>
    </xf>
    <xf numFmtId="0" fontId="0" fillId="0" borderId="88" xfId="0" applyBorder="1"/>
    <xf numFmtId="0" fontId="0" fillId="0" borderId="24" xfId="0" applyBorder="1"/>
    <xf numFmtId="0" fontId="9" fillId="9" borderId="93" xfId="0" applyFont="1" applyFill="1" applyBorder="1" applyProtection="1">
      <protection locked="0"/>
    </xf>
    <xf numFmtId="0" fontId="3" fillId="4" borderId="47" xfId="0" applyFont="1" applyFill="1" applyBorder="1"/>
    <xf numFmtId="0" fontId="7" fillId="9" borderId="60" xfId="0" applyFont="1" applyFill="1" applyBorder="1" applyProtection="1">
      <protection locked="0"/>
    </xf>
    <xf numFmtId="0" fontId="7" fillId="9" borderId="107" xfId="0" applyFont="1" applyFill="1" applyBorder="1" applyProtection="1">
      <protection locked="0"/>
    </xf>
    <xf numFmtId="0" fontId="7" fillId="9" borderId="108" xfId="0" applyFont="1" applyFill="1" applyBorder="1" applyProtection="1">
      <protection locked="0"/>
    </xf>
    <xf numFmtId="0" fontId="35" fillId="7" borderId="91" xfId="0" applyFont="1" applyFill="1" applyBorder="1" applyAlignment="1">
      <alignment horizontal="center"/>
    </xf>
    <xf numFmtId="0" fontId="35" fillId="7" borderId="91" xfId="0" applyFont="1" applyFill="1" applyBorder="1" applyAlignment="1">
      <alignment horizontal="center" vertical="center"/>
    </xf>
    <xf numFmtId="0" fontId="2" fillId="2" borderId="114" xfId="0" applyFont="1" applyFill="1" applyBorder="1"/>
    <xf numFmtId="0" fontId="21" fillId="10" borderId="93" xfId="0" applyFont="1" applyFill="1" applyBorder="1" applyAlignment="1">
      <alignment horizontal="left"/>
    </xf>
    <xf numFmtId="164" fontId="21" fillId="10" borderId="102" xfId="0" applyNumberFormat="1" applyFont="1" applyFill="1" applyBorder="1" applyAlignment="1">
      <alignment horizontal="left"/>
    </xf>
    <xf numFmtId="0" fontId="37" fillId="4" borderId="89" xfId="0" applyFont="1" applyFill="1" applyBorder="1" applyAlignment="1">
      <alignment horizontal="center" vertical="center"/>
    </xf>
    <xf numFmtId="0" fontId="21" fillId="0" borderId="43" xfId="0" applyFont="1" applyBorder="1"/>
    <xf numFmtId="0" fontId="21" fillId="0" borderId="25" xfId="0" applyFont="1" applyBorder="1"/>
    <xf numFmtId="0" fontId="21" fillId="0" borderId="47" xfId="0" applyFont="1" applyBorder="1" applyAlignment="1">
      <alignment horizontal="left"/>
    </xf>
    <xf numFmtId="9" fontId="3" fillId="0" borderId="0" xfId="0" applyNumberFormat="1" applyFont="1" applyAlignment="1">
      <alignment wrapText="1"/>
    </xf>
    <xf numFmtId="9" fontId="3" fillId="0" borderId="0" xfId="0" applyNumberFormat="1" applyFont="1" applyAlignment="1">
      <alignment horizontal="right" wrapText="1"/>
    </xf>
    <xf numFmtId="0" fontId="0" fillId="0" borderId="0" xfId="0" applyAlignment="1">
      <alignment horizontal="right"/>
    </xf>
    <xf numFmtId="0" fontId="0" fillId="0" borderId="0" xfId="0" applyAlignment="1">
      <alignment horizontal="right" wrapText="1"/>
    </xf>
    <xf numFmtId="0" fontId="0" fillId="0" borderId="30" xfId="0" applyBorder="1"/>
    <xf numFmtId="0" fontId="0" fillId="0" borderId="87" xfId="0" applyBorder="1"/>
    <xf numFmtId="9" fontId="10" fillId="11" borderId="93" xfId="1" applyFont="1" applyFill="1" applyBorder="1" applyAlignment="1" applyProtection="1">
      <alignment horizontal="right"/>
    </xf>
    <xf numFmtId="9" fontId="10" fillId="11" borderId="102" xfId="1" applyFont="1" applyFill="1" applyBorder="1" applyAlignment="1" applyProtection="1">
      <alignment horizontal="right"/>
    </xf>
    <xf numFmtId="0" fontId="28" fillId="0" borderId="23" xfId="0" applyFont="1" applyBorder="1" applyAlignment="1">
      <alignment horizontal="right"/>
    </xf>
    <xf numFmtId="0" fontId="21" fillId="0" borderId="20" xfId="0" applyFont="1" applyBorder="1" applyAlignment="1">
      <alignment horizontal="right"/>
    </xf>
    <xf numFmtId="0" fontId="0" fillId="0" borderId="71" xfId="0" applyBorder="1"/>
    <xf numFmtId="0" fontId="6" fillId="0" borderId="0" xfId="2"/>
    <xf numFmtId="0" fontId="3" fillId="0" borderId="0" xfId="0" quotePrefix="1" applyFont="1" applyAlignment="1">
      <alignment horizontal="left" vertical="top" wrapText="1"/>
    </xf>
    <xf numFmtId="0" fontId="0" fillId="0" borderId="0" xfId="0" quotePrefix="1" applyAlignment="1">
      <alignment horizontal="left" vertical="top" wrapText="1"/>
    </xf>
    <xf numFmtId="0" fontId="6" fillId="0" borderId="0" xfId="2" quotePrefix="1" applyAlignment="1">
      <alignment vertical="top" wrapText="1"/>
    </xf>
    <xf numFmtId="0" fontId="6" fillId="0" borderId="0" xfId="2" applyAlignment="1">
      <alignment vertical="top"/>
    </xf>
    <xf numFmtId="0" fontId="3" fillId="0" borderId="0" xfId="0" quotePrefix="1" applyFont="1" applyAlignment="1">
      <alignment horizontal="left" wrapText="1"/>
    </xf>
    <xf numFmtId="0" fontId="1" fillId="10" borderId="82" xfId="0" applyFont="1" applyFill="1" applyBorder="1" applyProtection="1">
      <protection locked="0"/>
    </xf>
    <xf numFmtId="165" fontId="1" fillId="11" borderId="82" xfId="0" applyNumberFormat="1" applyFont="1" applyFill="1" applyBorder="1" applyAlignment="1">
      <alignment horizontal="center"/>
    </xf>
    <xf numFmtId="0" fontId="0" fillId="0" borderId="21" xfId="0" applyBorder="1"/>
    <xf numFmtId="0" fontId="3" fillId="0" borderId="0" xfId="0" applyFont="1" applyAlignment="1">
      <alignment horizontal="left" wrapText="1"/>
    </xf>
    <xf numFmtId="0" fontId="22" fillId="19" borderId="100" xfId="0" applyFont="1" applyFill="1" applyBorder="1"/>
    <xf numFmtId="0" fontId="22" fillId="19" borderId="101" xfId="0" applyFont="1" applyFill="1" applyBorder="1"/>
    <xf numFmtId="0" fontId="22" fillId="19" borderId="47" xfId="0" applyFont="1" applyFill="1" applyBorder="1"/>
    <xf numFmtId="0" fontId="22" fillId="19" borderId="56" xfId="0" applyFont="1" applyFill="1" applyBorder="1"/>
    <xf numFmtId="0" fontId="22" fillId="19" borderId="56" xfId="0" applyFont="1" applyFill="1" applyBorder="1" applyAlignment="1">
      <alignment wrapText="1"/>
    </xf>
    <xf numFmtId="9" fontId="0" fillId="16" borderId="47" xfId="1" applyFont="1" applyFill="1" applyBorder="1" applyAlignment="1">
      <alignment horizontal="right"/>
    </xf>
    <xf numFmtId="9" fontId="10" fillId="11" borderId="50" xfId="1" applyFont="1" applyFill="1" applyBorder="1" applyAlignment="1" applyProtection="1">
      <alignment horizontal="right"/>
    </xf>
    <xf numFmtId="165" fontId="7" fillId="11" borderId="50" xfId="0" applyNumberFormat="1" applyFont="1" applyFill="1" applyBorder="1" applyAlignment="1">
      <alignment horizontal="right"/>
    </xf>
    <xf numFmtId="164" fontId="9" fillId="11" borderId="47" xfId="0" applyNumberFormat="1" applyFont="1" applyFill="1" applyBorder="1" applyAlignment="1">
      <alignment horizontal="right"/>
    </xf>
    <xf numFmtId="164" fontId="9" fillId="11" borderId="47" xfId="1" applyNumberFormat="1" applyFont="1" applyFill="1" applyBorder="1" applyAlignment="1" applyProtection="1">
      <alignment horizontal="right"/>
    </xf>
    <xf numFmtId="9" fontId="9" fillId="11" borderId="47" xfId="1" applyFont="1" applyFill="1" applyBorder="1" applyAlignment="1" applyProtection="1">
      <alignment horizontal="right"/>
    </xf>
    <xf numFmtId="9" fontId="9" fillId="11" borderId="56" xfId="1" applyFont="1" applyFill="1" applyBorder="1" applyAlignment="1" applyProtection="1">
      <alignment horizontal="right"/>
    </xf>
    <xf numFmtId="0" fontId="9" fillId="9" borderId="50" xfId="0" applyFont="1" applyFill="1" applyBorder="1" applyAlignment="1" applyProtection="1">
      <alignment horizontal="right"/>
      <protection locked="0"/>
    </xf>
    <xf numFmtId="0" fontId="9" fillId="9" borderId="69" xfId="0" applyFont="1" applyFill="1" applyBorder="1" applyAlignment="1" applyProtection="1">
      <alignment horizontal="right"/>
      <protection locked="0"/>
    </xf>
    <xf numFmtId="9" fontId="10" fillId="11" borderId="94" xfId="1" applyFont="1" applyFill="1" applyBorder="1" applyAlignment="1" applyProtection="1">
      <alignment horizontal="right"/>
    </xf>
    <xf numFmtId="164" fontId="10" fillId="4" borderId="56" xfId="0" applyNumberFormat="1" applyFont="1" applyFill="1" applyBorder="1" applyProtection="1">
      <protection locked="0"/>
    </xf>
    <xf numFmtId="0" fontId="9" fillId="9" borderId="56" xfId="0" applyFont="1" applyFill="1" applyBorder="1" applyProtection="1">
      <protection locked="0"/>
    </xf>
    <xf numFmtId="0" fontId="9" fillId="9" borderId="102" xfId="0" applyFont="1" applyFill="1" applyBorder="1" applyProtection="1">
      <protection locked="0"/>
    </xf>
    <xf numFmtId="164" fontId="9" fillId="12" borderId="47" xfId="1" applyNumberFormat="1" applyFont="1" applyFill="1" applyBorder="1" applyAlignment="1" applyProtection="1">
      <alignment horizontal="right"/>
    </xf>
    <xf numFmtId="9" fontId="0" fillId="4" borderId="47" xfId="1" applyFont="1" applyFill="1" applyBorder="1"/>
    <xf numFmtId="0" fontId="3" fillId="4" borderId="43" xfId="0" applyFont="1" applyFill="1" applyBorder="1"/>
    <xf numFmtId="0" fontId="19" fillId="3" borderId="23" xfId="0" applyFont="1" applyFill="1" applyBorder="1"/>
    <xf numFmtId="0" fontId="3" fillId="12" borderId="47" xfId="0" applyFont="1" applyFill="1" applyBorder="1"/>
    <xf numFmtId="0" fontId="0" fillId="12" borderId="47" xfId="0" applyFill="1" applyBorder="1"/>
    <xf numFmtId="0" fontId="0" fillId="16" borderId="47" xfId="0" applyFill="1" applyBorder="1"/>
    <xf numFmtId="0" fontId="18" fillId="4" borderId="47" xfId="0" applyFont="1" applyFill="1" applyBorder="1" applyAlignment="1">
      <alignment horizontal="center" vertical="center" wrapText="1"/>
    </xf>
    <xf numFmtId="165" fontId="7" fillId="11" borderId="140" xfId="0" applyNumberFormat="1" applyFont="1" applyFill="1" applyBorder="1" applyAlignment="1">
      <alignment horizontal="right"/>
    </xf>
    <xf numFmtId="0" fontId="9" fillId="16" borderId="140" xfId="0" applyFont="1" applyFill="1" applyBorder="1"/>
    <xf numFmtId="0" fontId="9" fillId="9" borderId="140" xfId="0" applyFont="1" applyFill="1" applyBorder="1" applyProtection="1">
      <protection locked="0"/>
    </xf>
    <xf numFmtId="2" fontId="7" fillId="16" borderId="144" xfId="0" applyNumberFormat="1" applyFont="1" applyFill="1" applyBorder="1" applyAlignment="1">
      <alignment horizontal="right"/>
    </xf>
    <xf numFmtId="166" fontId="0" fillId="0" borderId="0" xfId="0" applyNumberFormat="1"/>
    <xf numFmtId="164" fontId="9" fillId="11" borderId="51" xfId="0" applyNumberFormat="1" applyFont="1" applyFill="1" applyBorder="1" applyAlignment="1">
      <alignment horizontal="right"/>
    </xf>
    <xf numFmtId="0" fontId="7" fillId="9" borderId="96" xfId="0" applyFont="1" applyFill="1" applyBorder="1" applyProtection="1">
      <protection locked="0"/>
    </xf>
    <xf numFmtId="0" fontId="7" fillId="9" borderId="147" xfId="0" applyFont="1" applyFill="1" applyBorder="1" applyProtection="1">
      <protection locked="0"/>
    </xf>
    <xf numFmtId="0" fontId="7" fillId="9" borderId="1" xfId="0" applyFont="1" applyFill="1" applyBorder="1" applyProtection="1">
      <protection locked="0"/>
    </xf>
    <xf numFmtId="0" fontId="7" fillId="9" borderId="155" xfId="0" applyFont="1" applyFill="1" applyBorder="1" applyProtection="1">
      <protection locked="0"/>
    </xf>
    <xf numFmtId="0" fontId="7" fillId="9" borderId="156" xfId="0" applyFont="1" applyFill="1" applyBorder="1" applyProtection="1">
      <protection locked="0"/>
    </xf>
    <xf numFmtId="0" fontId="7" fillId="9" borderId="157" xfId="0" applyFont="1" applyFill="1" applyBorder="1" applyProtection="1">
      <protection locked="0"/>
    </xf>
    <xf numFmtId="0" fontId="7" fillId="9" borderId="158" xfId="0" applyFont="1" applyFill="1" applyBorder="1" applyProtection="1">
      <protection locked="0"/>
    </xf>
    <xf numFmtId="0" fontId="7" fillId="9" borderId="150" xfId="0" applyFont="1" applyFill="1" applyBorder="1" applyProtection="1">
      <protection locked="0"/>
    </xf>
    <xf numFmtId="0" fontId="7" fillId="9" borderId="159" xfId="0" applyFont="1" applyFill="1" applyBorder="1" applyProtection="1">
      <protection locked="0"/>
    </xf>
    <xf numFmtId="0" fontId="19" fillId="8" borderId="47" xfId="0" applyFont="1" applyFill="1" applyBorder="1"/>
    <xf numFmtId="0" fontId="14" fillId="8" borderId="100" xfId="0" applyFont="1" applyFill="1" applyBorder="1"/>
    <xf numFmtId="0" fontId="14" fillId="8" borderId="47" xfId="0" applyFont="1" applyFill="1" applyBorder="1"/>
    <xf numFmtId="0" fontId="14" fillId="8" borderId="93" xfId="0" applyFont="1" applyFill="1" applyBorder="1"/>
    <xf numFmtId="0" fontId="14" fillId="8" borderId="101" xfId="0" applyFont="1" applyFill="1" applyBorder="1"/>
    <xf numFmtId="0" fontId="14" fillId="8" borderId="124" xfId="0" applyFont="1" applyFill="1" applyBorder="1"/>
    <xf numFmtId="0" fontId="14" fillId="8" borderId="139" xfId="0" applyFont="1" applyFill="1" applyBorder="1"/>
    <xf numFmtId="0" fontId="14" fillId="8" borderId="140" xfId="0" applyFont="1" applyFill="1" applyBorder="1"/>
    <xf numFmtId="0" fontId="14" fillId="8" borderId="137" xfId="0" applyFont="1" applyFill="1" applyBorder="1"/>
    <xf numFmtId="0" fontId="14" fillId="8" borderId="138" xfId="0" applyFont="1" applyFill="1" applyBorder="1"/>
    <xf numFmtId="0" fontId="14" fillId="8" borderId="83" xfId="0" applyFont="1" applyFill="1" applyBorder="1" applyAlignment="1">
      <alignment horizontal="left"/>
    </xf>
    <xf numFmtId="0" fontId="14" fillId="8" borderId="80" xfId="0" applyFont="1" applyFill="1" applyBorder="1" applyAlignment="1">
      <alignment horizontal="left"/>
    </xf>
    <xf numFmtId="0" fontId="14" fillId="8" borderId="146" xfId="0" applyFont="1" applyFill="1" applyBorder="1"/>
    <xf numFmtId="0" fontId="14" fillId="8" borderId="148" xfId="0" applyFont="1" applyFill="1" applyBorder="1"/>
    <xf numFmtId="0" fontId="14" fillId="8" borderId="149" xfId="0" applyFont="1" applyFill="1" applyBorder="1"/>
    <xf numFmtId="0" fontId="19" fillId="8" borderId="143" xfId="0" applyFont="1" applyFill="1" applyBorder="1"/>
    <xf numFmtId="0" fontId="14" fillId="8" borderId="97" xfId="0" applyFont="1" applyFill="1" applyBorder="1"/>
    <xf numFmtId="0" fontId="14" fillId="8" borderId="104" xfId="0" applyFont="1" applyFill="1" applyBorder="1"/>
    <xf numFmtId="0" fontId="14" fillId="8" borderId="81" xfId="0" applyFont="1" applyFill="1" applyBorder="1" applyAlignment="1">
      <alignment horizontal="center"/>
    </xf>
    <xf numFmtId="0" fontId="14" fillId="8" borderId="51" xfId="0" applyFont="1" applyFill="1" applyBorder="1" applyAlignment="1">
      <alignment horizontal="center"/>
    </xf>
    <xf numFmtId="9" fontId="14" fillId="8" borderId="93" xfId="1" applyFont="1" applyFill="1" applyBorder="1" applyAlignment="1" applyProtection="1"/>
    <xf numFmtId="0" fontId="14" fillId="8" borderId="112" xfId="0" applyFont="1" applyFill="1" applyBorder="1"/>
    <xf numFmtId="0" fontId="19" fillId="8" borderId="101" xfId="0" applyFont="1" applyFill="1" applyBorder="1"/>
    <xf numFmtId="0" fontId="19" fillId="8" borderId="1" xfId="0" applyFont="1" applyFill="1" applyBorder="1"/>
    <xf numFmtId="0" fontId="19" fillId="8" borderId="95" xfId="0" applyFont="1" applyFill="1" applyBorder="1"/>
    <xf numFmtId="0" fontId="19" fillId="8" borderId="0" xfId="0" applyFont="1" applyFill="1" applyAlignment="1">
      <alignment vertical="top"/>
    </xf>
    <xf numFmtId="0" fontId="19" fillId="8" borderId="51" xfId="0" applyFont="1" applyFill="1" applyBorder="1"/>
    <xf numFmtId="0" fontId="19" fillId="8" borderId="62" xfId="0" applyFont="1" applyFill="1" applyBorder="1"/>
    <xf numFmtId="0" fontId="0" fillId="3" borderId="33" xfId="0" applyFill="1" applyBorder="1"/>
    <xf numFmtId="0" fontId="0" fillId="3" borderId="34" xfId="0" applyFill="1" applyBorder="1"/>
    <xf numFmtId="0" fontId="0" fillId="3" borderId="36" xfId="0" applyFill="1" applyBorder="1"/>
    <xf numFmtId="0" fontId="10" fillId="4" borderId="47" xfId="0" applyFont="1" applyFill="1" applyBorder="1" applyProtection="1">
      <protection locked="0"/>
    </xf>
    <xf numFmtId="0" fontId="0" fillId="4" borderId="145" xfId="0" applyFill="1" applyBorder="1" applyProtection="1">
      <protection locked="0"/>
    </xf>
    <xf numFmtId="0" fontId="10" fillId="4" borderId="47" xfId="0" applyFont="1" applyFill="1" applyBorder="1" applyAlignment="1" applyProtection="1">
      <alignment horizontal="right"/>
      <protection locked="0"/>
    </xf>
    <xf numFmtId="0" fontId="10" fillId="4" borderId="80" xfId="0" applyFont="1" applyFill="1" applyBorder="1" applyAlignment="1" applyProtection="1">
      <alignment horizontal="right"/>
      <protection locked="0"/>
    </xf>
    <xf numFmtId="0" fontId="0" fillId="4" borderId="1" xfId="0" applyFill="1" applyBorder="1" applyAlignment="1" applyProtection="1">
      <alignment horizontal="right"/>
      <protection locked="0"/>
    </xf>
    <xf numFmtId="0" fontId="0" fillId="4" borderId="95" xfId="0" applyFill="1" applyBorder="1" applyAlignment="1" applyProtection="1">
      <alignment horizontal="right"/>
      <protection locked="0"/>
    </xf>
    <xf numFmtId="0" fontId="19" fillId="8" borderId="122" xfId="0" applyFont="1" applyFill="1" applyBorder="1" applyProtection="1">
      <protection locked="0"/>
    </xf>
    <xf numFmtId="0" fontId="19" fillId="8" borderId="123" xfId="0" applyFont="1" applyFill="1" applyBorder="1" applyProtection="1">
      <protection locked="0"/>
    </xf>
    <xf numFmtId="164" fontId="10" fillId="4" borderId="56" xfId="0" applyNumberFormat="1" applyFont="1" applyFill="1" applyBorder="1"/>
    <xf numFmtId="0" fontId="0" fillId="15" borderId="47" xfId="0" applyFill="1" applyBorder="1" applyAlignment="1" applyProtection="1">
      <alignment horizontal="right"/>
      <protection locked="0"/>
    </xf>
    <xf numFmtId="0" fontId="0" fillId="0" borderId="80" xfId="0" applyBorder="1" applyAlignment="1" applyProtection="1">
      <alignment horizontal="right"/>
      <protection locked="0"/>
    </xf>
    <xf numFmtId="0" fontId="52" fillId="0" borderId="128" xfId="0" applyFont="1" applyBorder="1" applyAlignment="1">
      <alignment vertical="top"/>
    </xf>
    <xf numFmtId="0" fontId="52" fillId="0" borderId="167" xfId="0" applyFont="1" applyBorder="1" applyAlignment="1">
      <alignment vertical="top"/>
    </xf>
    <xf numFmtId="0" fontId="52" fillId="0" borderId="21" xfId="0" applyFont="1" applyBorder="1" applyAlignment="1">
      <alignment vertical="top"/>
    </xf>
    <xf numFmtId="0" fontId="52" fillId="0" borderId="168" xfId="0" applyFont="1" applyBorder="1" applyAlignment="1">
      <alignment vertical="top"/>
    </xf>
    <xf numFmtId="0" fontId="52" fillId="0" borderId="22" xfId="0" applyFont="1" applyBorder="1" applyAlignment="1">
      <alignment vertical="top"/>
    </xf>
    <xf numFmtId="0" fontId="52" fillId="0" borderId="169" xfId="0" applyFont="1" applyBorder="1" applyAlignment="1">
      <alignment vertical="top"/>
    </xf>
    <xf numFmtId="0" fontId="53" fillId="0" borderId="20" xfId="0" applyFont="1" applyBorder="1" applyAlignment="1">
      <alignment vertical="center"/>
    </xf>
    <xf numFmtId="0" fontId="53" fillId="0" borderId="169" xfId="0" applyFont="1" applyBorder="1" applyAlignment="1">
      <alignment vertical="center"/>
    </xf>
    <xf numFmtId="0" fontId="52" fillId="0" borderId="25" xfId="0" applyFont="1" applyBorder="1" applyAlignment="1">
      <alignment vertical="top"/>
    </xf>
    <xf numFmtId="0" fontId="52" fillId="0" borderId="170" xfId="0" applyFont="1" applyBorder="1" applyAlignment="1">
      <alignment vertical="top"/>
    </xf>
    <xf numFmtId="0" fontId="14" fillId="8" borderId="98" xfId="0" applyFont="1" applyFill="1" applyBorder="1"/>
    <xf numFmtId="0" fontId="14" fillId="8" borderId="99" xfId="0" applyFont="1" applyFill="1" applyBorder="1"/>
    <xf numFmtId="0" fontId="19" fillId="8" borderId="56" xfId="0" applyFont="1" applyFill="1" applyBorder="1"/>
    <xf numFmtId="1" fontId="10" fillId="4" borderId="102" xfId="1" applyNumberFormat="1" applyFont="1" applyFill="1" applyBorder="1" applyAlignment="1" applyProtection="1">
      <alignment horizontal="right"/>
      <protection locked="0"/>
    </xf>
    <xf numFmtId="0" fontId="1" fillId="10" borderId="60" xfId="0" applyFont="1" applyFill="1" applyBorder="1" applyAlignment="1" applyProtection="1">
      <alignment horizontal="right"/>
      <protection locked="0"/>
    </xf>
    <xf numFmtId="0" fontId="1" fillId="10" borderId="46" xfId="0" applyFont="1" applyFill="1" applyBorder="1" applyAlignment="1" applyProtection="1">
      <alignment horizontal="right"/>
      <protection locked="0"/>
    </xf>
    <xf numFmtId="0" fontId="1" fillId="10" borderId="82" xfId="0" applyFont="1" applyFill="1" applyBorder="1" applyAlignment="1" applyProtection="1">
      <alignment horizontal="right"/>
      <protection locked="0"/>
    </xf>
    <xf numFmtId="0" fontId="3" fillId="0" borderId="0" xfId="0" applyFont="1" applyAlignment="1">
      <alignment vertical="top" wrapText="1"/>
    </xf>
    <xf numFmtId="0" fontId="1" fillId="4" borderId="1" xfId="0" applyFont="1" applyFill="1" applyBorder="1" applyProtection="1">
      <protection locked="0"/>
    </xf>
    <xf numFmtId="1" fontId="3" fillId="12" borderId="2" xfId="0" applyNumberFormat="1" applyFont="1" applyFill="1" applyBorder="1"/>
    <xf numFmtId="0" fontId="3" fillId="4" borderId="1" xfId="0" applyFont="1" applyFill="1" applyBorder="1" applyProtection="1">
      <protection locked="0"/>
    </xf>
    <xf numFmtId="0" fontId="3" fillId="16" borderId="47" xfId="0" applyFont="1" applyFill="1" applyBorder="1"/>
    <xf numFmtId="164" fontId="3" fillId="4" borderId="47" xfId="0" applyNumberFormat="1" applyFont="1" applyFill="1" applyBorder="1"/>
    <xf numFmtId="9" fontId="9" fillId="12" borderId="47" xfId="1" applyNumberFormat="1" applyFont="1" applyFill="1" applyBorder="1" applyAlignment="1" applyProtection="1">
      <alignment horizontal="right"/>
    </xf>
    <xf numFmtId="0" fontId="21" fillId="10" borderId="47" xfId="0" applyFont="1" applyFill="1" applyBorder="1" applyAlignment="1">
      <alignment horizontal="left"/>
    </xf>
    <xf numFmtId="0" fontId="40" fillId="0" borderId="0" xfId="0" applyFont="1" applyAlignment="1">
      <alignment horizontal="left" vertical="top" wrapText="1"/>
    </xf>
    <xf numFmtId="0" fontId="57" fillId="8" borderId="33" xfId="0" applyFont="1" applyFill="1" applyBorder="1" applyAlignment="1">
      <alignment horizontal="center"/>
    </xf>
    <xf numFmtId="0" fontId="57" fillId="8" borderId="34" xfId="0" applyFont="1" applyFill="1" applyBorder="1" applyAlignment="1">
      <alignment horizontal="center"/>
    </xf>
    <xf numFmtId="0" fontId="57" fillId="8" borderId="35" xfId="0" applyFont="1" applyFill="1" applyBorder="1" applyAlignment="1">
      <alignment horizontal="center"/>
    </xf>
    <xf numFmtId="0" fontId="57" fillId="8" borderId="36" xfId="0" applyFont="1" applyFill="1" applyBorder="1" applyAlignment="1">
      <alignment horizontal="center"/>
    </xf>
    <xf numFmtId="0" fontId="57" fillId="8" borderId="0" xfId="0" applyFont="1" applyFill="1" applyAlignment="1">
      <alignment horizontal="center"/>
    </xf>
    <xf numFmtId="0" fontId="57" fillId="8" borderId="37" xfId="0" applyFont="1" applyFill="1" applyBorder="1" applyAlignment="1">
      <alignment horizontal="center"/>
    </xf>
    <xf numFmtId="0" fontId="57" fillId="8" borderId="38" xfId="0" applyFont="1" applyFill="1" applyBorder="1" applyAlignment="1">
      <alignment horizontal="center"/>
    </xf>
    <xf numFmtId="0" fontId="57" fillId="8" borderId="39" xfId="0" applyFont="1" applyFill="1" applyBorder="1" applyAlignment="1">
      <alignment horizontal="center"/>
    </xf>
    <xf numFmtId="0" fontId="57" fillId="8" borderId="40" xfId="0" applyFont="1" applyFill="1" applyBorder="1" applyAlignment="1">
      <alignment horizontal="center"/>
    </xf>
    <xf numFmtId="0" fontId="64" fillId="0" borderId="33" xfId="2" applyFont="1" applyBorder="1" applyAlignment="1" applyProtection="1">
      <alignment horizontal="center" vertical="center"/>
    </xf>
    <xf numFmtId="0" fontId="64" fillId="0" borderId="34" xfId="2" applyFont="1" applyBorder="1" applyAlignment="1" applyProtection="1">
      <alignment horizontal="center" vertical="center"/>
    </xf>
    <xf numFmtId="0" fontId="64" fillId="0" borderId="35" xfId="2" applyFont="1" applyBorder="1" applyAlignment="1" applyProtection="1">
      <alignment horizontal="center" vertical="center"/>
    </xf>
    <xf numFmtId="0" fontId="64" fillId="0" borderId="36" xfId="2" applyFont="1" applyBorder="1" applyAlignment="1" applyProtection="1">
      <alignment horizontal="center" vertical="center"/>
    </xf>
    <xf numFmtId="0" fontId="64" fillId="0" borderId="0" xfId="2" applyFont="1" applyAlignment="1" applyProtection="1">
      <alignment horizontal="center" vertical="center"/>
    </xf>
    <xf numFmtId="0" fontId="64" fillId="0" borderId="37" xfId="2" applyFont="1" applyBorder="1" applyAlignment="1" applyProtection="1">
      <alignment horizontal="center" vertical="center"/>
    </xf>
    <xf numFmtId="0" fontId="64" fillId="0" borderId="38" xfId="2" applyFont="1" applyBorder="1" applyAlignment="1" applyProtection="1">
      <alignment horizontal="center" vertical="center"/>
    </xf>
    <xf numFmtId="0" fontId="64" fillId="0" borderId="39" xfId="2" applyFont="1" applyBorder="1" applyAlignment="1" applyProtection="1">
      <alignment horizontal="center" vertical="center"/>
    </xf>
    <xf numFmtId="0" fontId="64" fillId="0" borderId="40" xfId="2" applyFont="1" applyBorder="1" applyAlignment="1" applyProtection="1">
      <alignment horizontal="center" vertical="center"/>
    </xf>
    <xf numFmtId="0" fontId="64" fillId="0" borderId="30" xfId="2" applyFont="1" applyBorder="1" applyAlignment="1" applyProtection="1">
      <alignment horizontal="center" vertical="center"/>
    </xf>
    <xf numFmtId="0" fontId="64" fillId="0" borderId="125" xfId="2" applyFont="1" applyBorder="1" applyAlignment="1" applyProtection="1">
      <alignment horizontal="center" vertical="center"/>
    </xf>
    <xf numFmtId="0" fontId="64" fillId="0" borderId="25" xfId="2" applyFont="1" applyBorder="1" applyAlignment="1" applyProtection="1">
      <alignment horizontal="center" vertical="center"/>
    </xf>
    <xf numFmtId="0" fontId="64" fillId="0" borderId="21" xfId="2" applyFont="1" applyBorder="1" applyAlignment="1" applyProtection="1">
      <alignment horizontal="center" vertical="center"/>
    </xf>
    <xf numFmtId="0" fontId="64" fillId="0" borderId="126" xfId="2" applyFont="1" applyBorder="1" applyAlignment="1" applyProtection="1">
      <alignment horizontal="center" vertical="center"/>
    </xf>
    <xf numFmtId="0" fontId="3" fillId="0" borderId="36" xfId="0" applyFont="1" applyBorder="1" applyAlignment="1">
      <alignment horizontal="left" vertical="top" wrapText="1"/>
    </xf>
    <xf numFmtId="0" fontId="3" fillId="0" borderId="0" xfId="0" applyFont="1" applyAlignment="1">
      <alignment horizontal="left" vertical="top" wrapText="1"/>
    </xf>
    <xf numFmtId="0" fontId="3" fillId="0" borderId="37" xfId="0" applyFont="1" applyBorder="1" applyAlignment="1">
      <alignment horizontal="left" vertical="top" wrapText="1"/>
    </xf>
    <xf numFmtId="0" fontId="3" fillId="0" borderId="38" xfId="0" applyFont="1" applyBorder="1" applyAlignment="1">
      <alignment horizontal="left" vertical="top" wrapText="1"/>
    </xf>
    <xf numFmtId="0" fontId="3" fillId="0" borderId="39" xfId="0" applyFont="1" applyBorder="1" applyAlignment="1">
      <alignment horizontal="left" vertical="top" wrapText="1"/>
    </xf>
    <xf numFmtId="0" fontId="3" fillId="0" borderId="40" xfId="0" applyFont="1" applyBorder="1" applyAlignment="1">
      <alignment horizontal="left" vertical="top" wrapText="1"/>
    </xf>
    <xf numFmtId="0" fontId="57" fillId="8" borderId="33" xfId="0" applyFont="1" applyFill="1" applyBorder="1" applyAlignment="1">
      <alignment horizontal="center" vertical="center"/>
    </xf>
    <xf numFmtId="0" fontId="57" fillId="8" borderId="34" xfId="0" applyFont="1" applyFill="1" applyBorder="1" applyAlignment="1">
      <alignment horizontal="center" vertical="center"/>
    </xf>
    <xf numFmtId="0" fontId="57" fillId="8" borderId="35" xfId="0" applyFont="1" applyFill="1" applyBorder="1" applyAlignment="1">
      <alignment horizontal="center" vertical="center"/>
    </xf>
    <xf numFmtId="0" fontId="57" fillId="8" borderId="36" xfId="0" applyFont="1" applyFill="1" applyBorder="1" applyAlignment="1">
      <alignment horizontal="center" vertical="center"/>
    </xf>
    <xf numFmtId="0" fontId="57" fillId="8" borderId="0" xfId="0" applyFont="1" applyFill="1" applyAlignment="1">
      <alignment horizontal="center" vertical="center"/>
    </xf>
    <xf numFmtId="0" fontId="57" fillId="8" borderId="37" xfId="0" applyFont="1" applyFill="1" applyBorder="1" applyAlignment="1">
      <alignment horizontal="center" vertical="center"/>
    </xf>
    <xf numFmtId="0" fontId="52" fillId="0" borderId="166" xfId="0" applyFont="1" applyBorder="1" applyAlignment="1">
      <alignment horizontal="left" vertical="top" wrapText="1"/>
    </xf>
    <xf numFmtId="0" fontId="52" fillId="0" borderId="8" xfId="0" applyFont="1" applyBorder="1" applyAlignment="1">
      <alignment horizontal="left" vertical="top" wrapText="1"/>
    </xf>
    <xf numFmtId="0" fontId="52" fillId="0" borderId="36" xfId="0" applyFont="1" applyBorder="1" applyAlignment="1">
      <alignment horizontal="left" vertical="top" wrapText="1"/>
    </xf>
    <xf numFmtId="0" fontId="52" fillId="0" borderId="0" xfId="0" applyFont="1" applyAlignment="1">
      <alignment horizontal="left" vertical="top" wrapText="1"/>
    </xf>
    <xf numFmtId="0" fontId="52" fillId="0" borderId="30" xfId="0" applyFont="1" applyBorder="1" applyAlignment="1">
      <alignment horizontal="center" vertical="center" wrapText="1"/>
    </xf>
    <xf numFmtId="0" fontId="52" fillId="0" borderId="125" xfId="0" applyFont="1" applyBorder="1" applyAlignment="1">
      <alignment horizontal="center" vertical="center" wrapText="1"/>
    </xf>
    <xf numFmtId="0" fontId="52" fillId="0" borderId="25" xfId="0" applyFont="1" applyBorder="1" applyAlignment="1">
      <alignment horizontal="center" vertical="center" wrapText="1"/>
    </xf>
    <xf numFmtId="0" fontId="52" fillId="0" borderId="37" xfId="0" applyFont="1" applyBorder="1" applyAlignment="1">
      <alignment horizontal="center" vertical="center" wrapText="1"/>
    </xf>
    <xf numFmtId="0" fontId="52" fillId="0" borderId="21" xfId="0" applyFont="1" applyBorder="1" applyAlignment="1">
      <alignment horizontal="center" vertical="center" wrapText="1"/>
    </xf>
    <xf numFmtId="0" fontId="52" fillId="0" borderId="126" xfId="0" applyFont="1" applyBorder="1" applyAlignment="1">
      <alignment horizontal="center" vertical="center" wrapText="1"/>
    </xf>
    <xf numFmtId="0" fontId="52" fillId="0" borderId="7" xfId="0" applyFont="1" applyBorder="1" applyAlignment="1">
      <alignment horizontal="left" vertical="top" wrapText="1"/>
    </xf>
    <xf numFmtId="0" fontId="52" fillId="0" borderId="9" xfId="0" applyFont="1" applyBorder="1" applyAlignment="1">
      <alignment horizontal="left" vertical="top" wrapText="1"/>
    </xf>
    <xf numFmtId="0" fontId="52" fillId="0" borderId="13" xfId="0" applyFont="1" applyBorder="1" applyAlignment="1">
      <alignment horizontal="left" vertical="top" wrapText="1"/>
    </xf>
    <xf numFmtId="0" fontId="52" fillId="0" borderId="16" xfId="0" applyFont="1" applyBorder="1" applyAlignment="1">
      <alignment horizontal="left" vertical="top" wrapText="1"/>
    </xf>
    <xf numFmtId="0" fontId="58" fillId="8" borderId="13" xfId="0" applyFont="1" applyFill="1" applyBorder="1" applyAlignment="1">
      <alignment horizontal="center"/>
    </xf>
    <xf numFmtId="0" fontId="58" fillId="8" borderId="0" xfId="0" applyFont="1" applyFill="1" applyAlignment="1">
      <alignment horizontal="center"/>
    </xf>
    <xf numFmtId="0" fontId="58" fillId="8" borderId="17" xfId="0" applyFont="1" applyFill="1" applyBorder="1" applyAlignment="1">
      <alignment horizontal="center"/>
    </xf>
    <xf numFmtId="0" fontId="58" fillId="8" borderId="18" xfId="0" applyFont="1" applyFill="1" applyBorder="1" applyAlignment="1">
      <alignment horizontal="center"/>
    </xf>
    <xf numFmtId="0" fontId="58" fillId="8" borderId="33" xfId="0" applyFont="1" applyFill="1" applyBorder="1" applyAlignment="1">
      <alignment horizontal="center"/>
    </xf>
    <xf numFmtId="0" fontId="58" fillId="8" borderId="34" xfId="0" applyFont="1" applyFill="1" applyBorder="1" applyAlignment="1">
      <alignment horizontal="center"/>
    </xf>
    <xf numFmtId="0" fontId="58" fillId="8" borderId="35" xfId="0" applyFont="1" applyFill="1" applyBorder="1" applyAlignment="1">
      <alignment horizontal="center"/>
    </xf>
    <xf numFmtId="0" fontId="58" fillId="8" borderId="36" xfId="0" applyFont="1" applyFill="1" applyBorder="1" applyAlignment="1">
      <alignment horizontal="center"/>
    </xf>
    <xf numFmtId="0" fontId="58" fillId="8" borderId="37" xfId="0" applyFont="1" applyFill="1" applyBorder="1" applyAlignment="1">
      <alignment horizontal="center"/>
    </xf>
    <xf numFmtId="0" fontId="58" fillId="8" borderId="164" xfId="0" applyFont="1" applyFill="1" applyBorder="1" applyAlignment="1">
      <alignment horizontal="center"/>
    </xf>
    <xf numFmtId="0" fontId="58" fillId="8" borderId="165" xfId="0" applyFont="1" applyFill="1" applyBorder="1" applyAlignment="1">
      <alignment horizontal="center"/>
    </xf>
    <xf numFmtId="0" fontId="58" fillId="8" borderId="16" xfId="0" applyFont="1" applyFill="1" applyBorder="1" applyAlignment="1">
      <alignment horizontal="center"/>
    </xf>
    <xf numFmtId="0" fontId="58" fillId="8" borderId="3" xfId="0" applyFont="1" applyFill="1" applyBorder="1" applyAlignment="1">
      <alignment horizontal="center"/>
    </xf>
    <xf numFmtId="0" fontId="3" fillId="4" borderId="36" xfId="0" applyFont="1" applyFill="1" applyBorder="1" applyAlignment="1" applyProtection="1">
      <alignment horizontal="left" vertical="top" wrapText="1"/>
      <protection locked="0"/>
    </xf>
    <xf numFmtId="0" fontId="3" fillId="4" borderId="0" xfId="0" applyFont="1" applyFill="1" applyAlignment="1" applyProtection="1">
      <alignment horizontal="left" vertical="top" wrapText="1"/>
      <protection locked="0"/>
    </xf>
    <xf numFmtId="0" fontId="3" fillId="4" borderId="37" xfId="0" applyFont="1" applyFill="1" applyBorder="1" applyAlignment="1" applyProtection="1">
      <alignment horizontal="left" vertical="top" wrapText="1"/>
      <protection locked="0"/>
    </xf>
    <xf numFmtId="0" fontId="3" fillId="4" borderId="38" xfId="0" applyFont="1" applyFill="1" applyBorder="1" applyAlignment="1" applyProtection="1">
      <alignment horizontal="left" vertical="top" wrapText="1"/>
      <protection locked="0"/>
    </xf>
    <xf numFmtId="0" fontId="3" fillId="4" borderId="39" xfId="0" applyFont="1" applyFill="1" applyBorder="1" applyAlignment="1" applyProtection="1">
      <alignment horizontal="left" vertical="top" wrapText="1"/>
      <protection locked="0"/>
    </xf>
    <xf numFmtId="0" fontId="3" fillId="4" borderId="40" xfId="0" applyFont="1" applyFill="1" applyBorder="1" applyAlignment="1" applyProtection="1">
      <alignment horizontal="left" vertical="top" wrapText="1"/>
      <protection locked="0"/>
    </xf>
    <xf numFmtId="0" fontId="43" fillId="16" borderId="90" xfId="0" applyFont="1" applyFill="1" applyBorder="1" applyAlignment="1">
      <alignment horizontal="center" vertical="center" textRotation="90"/>
    </xf>
    <xf numFmtId="0" fontId="43" fillId="16" borderId="91" xfId="0" applyFont="1" applyFill="1" applyBorder="1" applyAlignment="1">
      <alignment horizontal="center" vertical="center" textRotation="90"/>
    </xf>
    <xf numFmtId="0" fontId="43" fillId="16" borderId="37" xfId="0" applyFont="1" applyFill="1" applyBorder="1" applyAlignment="1">
      <alignment horizontal="center" vertical="center" textRotation="90"/>
    </xf>
    <xf numFmtId="0" fontId="43" fillId="16" borderId="92" xfId="0" applyFont="1" applyFill="1" applyBorder="1" applyAlignment="1">
      <alignment horizontal="center" vertical="center" textRotation="90"/>
    </xf>
    <xf numFmtId="0" fontId="45" fillId="16" borderId="90" xfId="0" applyFont="1" applyFill="1" applyBorder="1" applyAlignment="1">
      <alignment horizontal="center" vertical="center" textRotation="90" wrapText="1"/>
    </xf>
    <xf numFmtId="0" fontId="45" fillId="16" borderId="91" xfId="0" applyFont="1" applyFill="1" applyBorder="1" applyAlignment="1">
      <alignment horizontal="center" vertical="center" textRotation="90" wrapText="1"/>
    </xf>
    <xf numFmtId="0" fontId="45" fillId="16" borderId="92" xfId="0" applyFont="1" applyFill="1" applyBorder="1" applyAlignment="1">
      <alignment horizontal="center" vertical="center" textRotation="90" wrapText="1"/>
    </xf>
    <xf numFmtId="0" fontId="0" fillId="8" borderId="74" xfId="0" applyFill="1" applyBorder="1" applyAlignment="1">
      <alignment horizontal="center"/>
    </xf>
    <xf numFmtId="0" fontId="0" fillId="8" borderId="48" xfId="0" applyFill="1" applyBorder="1" applyAlignment="1">
      <alignment horizontal="center"/>
    </xf>
    <xf numFmtId="0" fontId="0" fillId="8" borderId="83" xfId="0" applyFill="1" applyBorder="1" applyAlignment="1">
      <alignment horizontal="center"/>
    </xf>
    <xf numFmtId="0" fontId="0" fillId="8" borderId="75" xfId="0" applyFill="1" applyBorder="1" applyAlignment="1">
      <alignment horizontal="center"/>
    </xf>
    <xf numFmtId="0" fontId="0" fillId="8" borderId="85" xfId="0" applyFill="1" applyBorder="1" applyAlignment="1">
      <alignment horizontal="center"/>
    </xf>
    <xf numFmtId="0" fontId="0" fillId="8" borderId="84" xfId="0" applyFill="1" applyBorder="1" applyAlignment="1">
      <alignment horizontal="center"/>
    </xf>
    <xf numFmtId="0" fontId="29" fillId="3" borderId="0" xfId="0" applyFont="1" applyFill="1" applyAlignment="1">
      <alignment horizontal="center" vertical="center"/>
    </xf>
    <xf numFmtId="0" fontId="30" fillId="3" borderId="0" xfId="2" applyFont="1" applyFill="1" applyBorder="1" applyAlignment="1" applyProtection="1">
      <alignment horizontal="center" vertical="center"/>
    </xf>
    <xf numFmtId="0" fontId="23" fillId="3" borderId="0" xfId="0" applyFont="1" applyFill="1" applyAlignment="1">
      <alignment horizontal="center" vertical="center"/>
    </xf>
    <xf numFmtId="0" fontId="31" fillId="3" borderId="8" xfId="0" applyFont="1" applyFill="1" applyBorder="1" applyAlignment="1">
      <alignment horizontal="left" vertical="center"/>
    </xf>
    <xf numFmtId="0" fontId="29" fillId="3" borderId="7" xfId="0" applyFont="1" applyFill="1" applyBorder="1" applyAlignment="1">
      <alignment horizontal="center" vertical="center"/>
    </xf>
    <xf numFmtId="0" fontId="29" fillId="3" borderId="8" xfId="0" applyFont="1" applyFill="1" applyBorder="1" applyAlignment="1">
      <alignment horizontal="center" vertical="center"/>
    </xf>
    <xf numFmtId="0" fontId="29" fillId="3" borderId="13" xfId="0" applyFont="1" applyFill="1" applyBorder="1" applyAlignment="1">
      <alignment horizontal="center" vertical="center"/>
    </xf>
    <xf numFmtId="0" fontId="3" fillId="0" borderId="47" xfId="0" applyFont="1" applyBorder="1" applyAlignment="1" applyProtection="1">
      <alignment horizontal="left"/>
      <protection locked="0"/>
    </xf>
    <xf numFmtId="0" fontId="0" fillId="0" borderId="47" xfId="0" applyBorder="1" applyAlignment="1" applyProtection="1">
      <alignment horizontal="left"/>
      <protection locked="0"/>
    </xf>
    <xf numFmtId="0" fontId="19" fillId="8" borderId="47" xfId="0" applyFont="1" applyFill="1" applyBorder="1" applyAlignment="1">
      <alignment horizontal="center"/>
    </xf>
    <xf numFmtId="0" fontId="14" fillId="8" borderId="47" xfId="0" applyFont="1" applyFill="1" applyBorder="1" applyAlignment="1">
      <alignment horizontal="left" vertical="top"/>
    </xf>
    <xf numFmtId="14" fontId="7" fillId="9" borderId="47" xfId="0" applyNumberFormat="1" applyFont="1" applyFill="1" applyBorder="1" applyAlignment="1" applyProtection="1">
      <alignment horizontal="center"/>
      <protection locked="0"/>
    </xf>
    <xf numFmtId="49" fontId="18" fillId="7" borderId="96" xfId="0" applyNumberFormat="1" applyFont="1" applyFill="1" applyBorder="1" applyAlignment="1" applyProtection="1">
      <alignment horizontal="center"/>
      <protection locked="0"/>
    </xf>
    <xf numFmtId="49" fontId="18" fillId="7" borderId="46" xfId="0" applyNumberFormat="1" applyFont="1" applyFill="1" applyBorder="1" applyAlignment="1" applyProtection="1">
      <alignment horizontal="center"/>
      <protection locked="0"/>
    </xf>
    <xf numFmtId="49" fontId="18" fillId="7" borderId="82" xfId="0" applyNumberFormat="1" applyFont="1" applyFill="1" applyBorder="1" applyAlignment="1" applyProtection="1">
      <alignment horizontal="center"/>
      <protection locked="0"/>
    </xf>
    <xf numFmtId="0" fontId="14" fillId="8" borderId="97" xfId="0" applyFont="1" applyFill="1" applyBorder="1" applyAlignment="1">
      <alignment horizontal="center"/>
    </xf>
    <xf numFmtId="0" fontId="14" fillId="8" borderId="98" xfId="0" applyFont="1" applyFill="1" applyBorder="1" applyAlignment="1"/>
    <xf numFmtId="0" fontId="14" fillId="8" borderId="99" xfId="0" applyFont="1" applyFill="1" applyBorder="1" applyAlignment="1"/>
    <xf numFmtId="0" fontId="14" fillId="8" borderId="136" xfId="0" applyFont="1" applyFill="1" applyBorder="1" applyAlignment="1">
      <alignment horizontal="center"/>
    </xf>
    <xf numFmtId="0" fontId="14" fillId="8" borderId="63" xfId="0" applyFont="1" applyFill="1" applyBorder="1" applyAlignment="1"/>
    <xf numFmtId="0" fontId="14" fillId="8" borderId="154" xfId="0" applyFont="1" applyFill="1" applyBorder="1" applyAlignment="1"/>
    <xf numFmtId="0" fontId="19" fillId="8" borderId="72" xfId="0" applyFont="1" applyFill="1" applyBorder="1" applyAlignment="1">
      <alignment horizontal="center"/>
    </xf>
    <xf numFmtId="0" fontId="14" fillId="8" borderId="51" xfId="0" applyFont="1" applyFill="1" applyBorder="1" applyAlignment="1">
      <alignment horizontal="left"/>
    </xf>
    <xf numFmtId="0" fontId="14" fillId="8" borderId="47" xfId="0" applyFont="1" applyFill="1" applyBorder="1" applyAlignment="1">
      <alignment horizontal="left"/>
    </xf>
    <xf numFmtId="0" fontId="9" fillId="8" borderId="94" xfId="0" applyFont="1" applyFill="1" applyBorder="1" applyAlignment="1">
      <alignment horizontal="center"/>
    </xf>
    <xf numFmtId="0" fontId="9" fillId="8" borderId="129" xfId="0" applyFont="1" applyFill="1" applyBorder="1" applyAlignment="1">
      <alignment horizontal="center"/>
    </xf>
    <xf numFmtId="0" fontId="9" fillId="8" borderId="135" xfId="0" applyFont="1" applyFill="1" applyBorder="1" applyAlignment="1">
      <alignment horizontal="center"/>
    </xf>
    <xf numFmtId="0" fontId="19" fillId="5" borderId="57" xfId="0" applyFont="1" applyFill="1" applyBorder="1" applyAlignment="1">
      <alignment horizontal="center"/>
    </xf>
    <xf numFmtId="0" fontId="19" fillId="5" borderId="59" xfId="0" applyFont="1" applyFill="1" applyBorder="1" applyAlignment="1">
      <alignment horizontal="center"/>
    </xf>
    <xf numFmtId="0" fontId="18" fillId="6" borderId="58" xfId="0" applyFont="1" applyFill="1" applyBorder="1" applyAlignment="1" applyProtection="1">
      <alignment horizontal="left" vertical="top" wrapText="1"/>
      <protection locked="0"/>
    </xf>
    <xf numFmtId="0" fontId="18" fillId="6" borderId="0" xfId="0" applyFont="1" applyFill="1" applyAlignment="1" applyProtection="1">
      <alignment horizontal="left" vertical="top" wrapText="1"/>
      <protection locked="0"/>
    </xf>
    <xf numFmtId="0" fontId="18" fillId="6" borderId="39" xfId="0" applyFont="1" applyFill="1" applyBorder="1" applyAlignment="1" applyProtection="1">
      <alignment horizontal="left" vertical="top" wrapText="1"/>
      <protection locked="0"/>
    </xf>
    <xf numFmtId="0" fontId="19" fillId="5" borderId="0" xfId="0" applyFont="1" applyFill="1" applyAlignment="1">
      <alignment horizontal="center"/>
    </xf>
    <xf numFmtId="0" fontId="19" fillId="5" borderId="58" xfId="0" applyFont="1" applyFill="1" applyBorder="1" applyAlignment="1">
      <alignment horizontal="center"/>
    </xf>
    <xf numFmtId="0" fontId="8" fillId="8" borderId="111" xfId="0" applyFont="1" applyFill="1" applyBorder="1" applyAlignment="1">
      <alignment horizontal="left" vertical="top" wrapText="1"/>
    </xf>
    <xf numFmtId="0" fontId="8" fillId="8" borderId="61" xfId="0" applyFont="1" applyFill="1" applyBorder="1" applyAlignment="1">
      <alignment horizontal="left" vertical="top" wrapText="1"/>
    </xf>
    <xf numFmtId="0" fontId="8" fillId="8" borderId="128" xfId="0" applyFont="1" applyFill="1" applyBorder="1" applyAlignment="1">
      <alignment horizontal="left" vertical="top" wrapText="1"/>
    </xf>
    <xf numFmtId="0" fontId="8" fillId="8" borderId="41" xfId="0" applyFont="1" applyFill="1" applyBorder="1" applyAlignment="1">
      <alignment horizontal="left" vertical="top" wrapText="1"/>
    </xf>
    <xf numFmtId="0" fontId="8" fillId="8" borderId="20" xfId="0" applyFont="1" applyFill="1" applyBorder="1" applyAlignment="1">
      <alignment horizontal="left" vertical="top" wrapText="1"/>
    </xf>
    <xf numFmtId="0" fontId="8" fillId="8" borderId="22" xfId="0" applyFont="1" applyFill="1" applyBorder="1" applyAlignment="1">
      <alignment horizontal="left" vertical="top" wrapText="1"/>
    </xf>
    <xf numFmtId="0" fontId="8" fillId="8" borderId="110" xfId="0" applyFont="1" applyFill="1" applyBorder="1" applyAlignment="1">
      <alignment horizontal="left" vertical="top" wrapText="1"/>
    </xf>
    <xf numFmtId="0" fontId="8" fillId="8" borderId="45" xfId="0" applyFont="1" applyFill="1" applyBorder="1" applyAlignment="1">
      <alignment horizontal="left" vertical="top" wrapText="1"/>
    </xf>
    <xf numFmtId="0" fontId="8" fillId="8" borderId="109" xfId="0" applyFont="1" applyFill="1" applyBorder="1" applyAlignment="1">
      <alignment horizontal="left" vertical="top" wrapText="1"/>
    </xf>
    <xf numFmtId="0" fontId="14" fillId="8" borderId="47" xfId="0" applyFont="1" applyFill="1" applyBorder="1" applyAlignment="1">
      <alignment horizontal="center"/>
    </xf>
    <xf numFmtId="0" fontId="14" fillId="8" borderId="98" xfId="0" applyFont="1" applyFill="1" applyBorder="1" applyAlignment="1">
      <alignment horizontal="center"/>
    </xf>
    <xf numFmtId="0" fontId="14" fillId="8" borderId="100" xfId="0" applyFont="1" applyFill="1" applyBorder="1" applyAlignment="1">
      <alignment horizontal="left"/>
    </xf>
    <xf numFmtId="0" fontId="7" fillId="8" borderId="151" xfId="0" applyFont="1" applyFill="1" applyBorder="1" applyAlignment="1">
      <alignment horizontal="center"/>
    </xf>
    <xf numFmtId="0" fontId="7" fillId="8" borderId="137" xfId="0" applyFont="1" applyFill="1" applyBorder="1" applyAlignment="1">
      <alignment horizontal="center"/>
    </xf>
    <xf numFmtId="0" fontId="42" fillId="3" borderId="44" xfId="0" applyFont="1" applyFill="1" applyBorder="1" applyAlignment="1">
      <alignment horizontal="center" vertical="center"/>
    </xf>
    <xf numFmtId="0" fontId="42" fillId="3" borderId="43" xfId="0" applyFont="1" applyFill="1" applyBorder="1" applyAlignment="1">
      <alignment horizontal="center" vertical="center"/>
    </xf>
    <xf numFmtId="0" fontId="42" fillId="3" borderId="63" xfId="0" applyFont="1" applyFill="1" applyBorder="1" applyAlignment="1">
      <alignment horizontal="center" vertical="center"/>
    </xf>
    <xf numFmtId="0" fontId="42" fillId="3" borderId="127" xfId="0" applyFont="1" applyFill="1" applyBorder="1" applyAlignment="1">
      <alignment horizontal="center" vertical="center"/>
    </xf>
    <xf numFmtId="0" fontId="7" fillId="14" borderId="47" xfId="0" applyFont="1" applyFill="1" applyBorder="1" applyAlignment="1">
      <alignment horizontal="center"/>
    </xf>
    <xf numFmtId="164" fontId="7" fillId="14" borderId="47" xfId="0" applyNumberFormat="1" applyFont="1" applyFill="1" applyBorder="1" applyAlignment="1">
      <alignment horizontal="center"/>
    </xf>
    <xf numFmtId="0" fontId="14" fillId="8" borderId="101" xfId="0" applyFont="1" applyFill="1" applyBorder="1" applyAlignment="1">
      <alignment horizontal="left"/>
    </xf>
    <xf numFmtId="0" fontId="14" fillId="8" borderId="56" xfId="0" applyFont="1" applyFill="1" applyBorder="1" applyAlignment="1">
      <alignment horizontal="left"/>
    </xf>
    <xf numFmtId="0" fontId="7" fillId="8" borderId="97" xfId="0" applyFont="1" applyFill="1" applyBorder="1" applyAlignment="1">
      <alignment horizontal="center"/>
    </xf>
    <xf numFmtId="0" fontId="7" fillId="8" borderId="98" xfId="0" applyFont="1" applyFill="1" applyBorder="1" applyAlignment="1">
      <alignment horizontal="center"/>
    </xf>
    <xf numFmtId="0" fontId="14" fillId="8" borderId="11" xfId="0" applyFont="1" applyFill="1" applyBorder="1" applyAlignment="1">
      <alignment horizontal="left"/>
    </xf>
    <xf numFmtId="0" fontId="14" fillId="8" borderId="1" xfId="0" applyFont="1" applyFill="1" applyBorder="1" applyAlignment="1">
      <alignment horizontal="left"/>
    </xf>
    <xf numFmtId="0" fontId="14" fillId="8" borderId="100" xfId="0" applyFont="1" applyFill="1" applyBorder="1" applyAlignment="1">
      <alignment horizontal="right"/>
    </xf>
    <xf numFmtId="0" fontId="14" fillId="8" borderId="47" xfId="0" applyFont="1" applyFill="1" applyBorder="1" applyAlignment="1">
      <alignment horizontal="right"/>
    </xf>
    <xf numFmtId="0" fontId="19" fillId="8" borderId="33" xfId="0" applyFont="1" applyFill="1" applyBorder="1" applyAlignment="1">
      <alignment horizontal="center"/>
    </xf>
    <xf numFmtId="0" fontId="19" fillId="8" borderId="34" xfId="0" applyFont="1" applyFill="1" applyBorder="1" applyAlignment="1">
      <alignment horizontal="center"/>
    </xf>
    <xf numFmtId="0" fontId="52" fillId="4" borderId="36" xfId="0" applyFont="1" applyFill="1" applyBorder="1" applyAlignment="1" applyProtection="1">
      <alignment horizontal="center" vertical="center"/>
      <protection locked="0"/>
    </xf>
    <xf numFmtId="0" fontId="52" fillId="4" borderId="66" xfId="0" applyFont="1" applyFill="1" applyBorder="1" applyAlignment="1" applyProtection="1">
      <alignment horizontal="center" vertical="center"/>
      <protection locked="0"/>
    </xf>
    <xf numFmtId="0" fontId="52" fillId="4" borderId="38" xfId="0" applyFont="1" applyFill="1" applyBorder="1" applyAlignment="1" applyProtection="1">
      <alignment horizontal="center" vertical="center"/>
      <protection locked="0"/>
    </xf>
    <xf numFmtId="0" fontId="52" fillId="4" borderId="67" xfId="0" applyFont="1" applyFill="1" applyBorder="1" applyAlignment="1" applyProtection="1">
      <alignment horizontal="center" vertical="center"/>
      <protection locked="0"/>
    </xf>
    <xf numFmtId="0" fontId="14" fillId="8" borderId="132" xfId="0" applyFont="1" applyFill="1" applyBorder="1" applyAlignment="1">
      <alignment horizontal="center"/>
    </xf>
    <xf numFmtId="0" fontId="14" fillId="8" borderId="133" xfId="0" applyFont="1" applyFill="1" applyBorder="1" applyAlignment="1">
      <alignment horizontal="center"/>
    </xf>
    <xf numFmtId="0" fontId="14" fillId="8" borderId="134" xfId="0" applyFont="1" applyFill="1" applyBorder="1" applyAlignment="1">
      <alignment horizontal="center"/>
    </xf>
    <xf numFmtId="0" fontId="14" fillId="8" borderId="103" xfId="0" applyFont="1" applyFill="1" applyBorder="1" applyAlignment="1">
      <alignment horizontal="center"/>
    </xf>
    <xf numFmtId="0" fontId="14" fillId="8" borderId="77" xfId="0" applyFont="1" applyFill="1" applyBorder="1" applyAlignment="1">
      <alignment horizontal="center"/>
    </xf>
    <xf numFmtId="0" fontId="14" fillId="8" borderId="78" xfId="0" applyFont="1" applyFill="1" applyBorder="1" applyAlignment="1">
      <alignment horizontal="center"/>
    </xf>
    <xf numFmtId="0" fontId="14" fillId="8" borderId="104" xfId="0" applyFont="1" applyFill="1" applyBorder="1" applyAlignment="1">
      <alignment horizontal="left"/>
    </xf>
    <xf numFmtId="0" fontId="14" fillId="8" borderId="81" xfId="0" applyFont="1" applyFill="1" applyBorder="1" applyAlignment="1">
      <alignment horizontal="left"/>
    </xf>
    <xf numFmtId="0" fontId="14" fillId="8" borderId="105" xfId="0" applyFont="1" applyFill="1" applyBorder="1" applyAlignment="1">
      <alignment horizontal="left"/>
    </xf>
    <xf numFmtId="0" fontId="14" fillId="8" borderId="70" xfId="0" applyFont="1" applyFill="1" applyBorder="1" applyAlignment="1">
      <alignment horizontal="left"/>
    </xf>
    <xf numFmtId="0" fontId="14" fillId="8" borderId="106" xfId="0" applyFont="1" applyFill="1" applyBorder="1" applyAlignment="1">
      <alignment horizontal="left"/>
    </xf>
    <xf numFmtId="0" fontId="19" fillId="8" borderId="103" xfId="0" applyFont="1" applyFill="1" applyBorder="1" applyAlignment="1">
      <alignment horizontal="center"/>
    </xf>
    <xf numFmtId="0" fontId="19" fillId="8" borderId="77" xfId="0" applyFont="1" applyFill="1" applyBorder="1" applyAlignment="1">
      <alignment horizontal="center"/>
    </xf>
    <xf numFmtId="0" fontId="19" fillId="8" borderId="78" xfId="0" applyFont="1" applyFill="1" applyBorder="1" applyAlignment="1">
      <alignment horizontal="center"/>
    </xf>
    <xf numFmtId="0" fontId="41" fillId="8" borderId="104" xfId="0" applyFont="1" applyFill="1" applyBorder="1" applyAlignment="1">
      <alignment horizontal="center" wrapText="1"/>
    </xf>
    <xf numFmtId="0" fontId="41" fillId="8" borderId="51" xfId="0" applyFont="1" applyFill="1" applyBorder="1" applyAlignment="1">
      <alignment horizontal="center" wrapText="1"/>
    </xf>
    <xf numFmtId="0" fontId="14" fillId="8" borderId="100" xfId="0" applyFont="1" applyFill="1" applyBorder="1" applyAlignment="1">
      <alignment horizontal="left" wrapText="1"/>
    </xf>
    <xf numFmtId="0" fontId="14" fillId="8" borderId="47" xfId="0" applyFont="1" applyFill="1" applyBorder="1" applyAlignment="1">
      <alignment horizontal="left" wrapText="1"/>
    </xf>
    <xf numFmtId="0" fontId="59" fillId="16" borderId="0" xfId="0" applyFont="1" applyFill="1" applyAlignment="1">
      <alignment horizontal="center" vertical="center" textRotation="90" wrapText="1"/>
    </xf>
    <xf numFmtId="0" fontId="45" fillId="16" borderId="33" xfId="0" applyFont="1" applyFill="1" applyBorder="1" applyAlignment="1">
      <alignment horizontal="center" vertical="center" textRotation="90" wrapText="1"/>
    </xf>
    <xf numFmtId="0" fontId="45" fillId="16" borderId="36" xfId="0" applyFont="1" applyFill="1" applyBorder="1" applyAlignment="1">
      <alignment horizontal="center" vertical="center" textRotation="90" wrapText="1"/>
    </xf>
    <xf numFmtId="0" fontId="45" fillId="16" borderId="38" xfId="0" applyFont="1" applyFill="1" applyBorder="1" applyAlignment="1">
      <alignment horizontal="center" vertical="center" textRotation="90" wrapText="1"/>
    </xf>
    <xf numFmtId="49" fontId="18" fillId="7" borderId="96" xfId="0" applyNumberFormat="1" applyFont="1" applyFill="1" applyBorder="1" applyAlignment="1" applyProtection="1">
      <alignment horizontal="center" vertical="center"/>
      <protection locked="0"/>
    </xf>
    <xf numFmtId="49" fontId="18" fillId="7" borderId="46" xfId="0" applyNumberFormat="1" applyFont="1" applyFill="1" applyBorder="1" applyAlignment="1" applyProtection="1">
      <alignment horizontal="center" vertical="center"/>
      <protection locked="0"/>
    </xf>
    <xf numFmtId="49" fontId="18" fillId="7" borderId="82" xfId="0" applyNumberFormat="1" applyFont="1" applyFill="1" applyBorder="1" applyAlignment="1" applyProtection="1">
      <alignment horizontal="center" vertical="center"/>
      <protection locked="0"/>
    </xf>
    <xf numFmtId="0" fontId="14" fillId="8" borderId="51" xfId="0" applyFont="1" applyFill="1" applyBorder="1" applyAlignment="1">
      <alignment horizontal="left" vertical="top"/>
    </xf>
    <xf numFmtId="9" fontId="52" fillId="4" borderId="49" xfId="0" applyNumberFormat="1" applyFont="1" applyFill="1" applyBorder="1" applyAlignment="1" applyProtection="1">
      <alignment horizontal="center" vertical="center"/>
      <protection locked="0"/>
    </xf>
    <xf numFmtId="0" fontId="52" fillId="4" borderId="49" xfId="0" applyFont="1" applyFill="1" applyBorder="1" applyAlignment="1" applyProtection="1">
      <alignment horizontal="center" vertical="center"/>
      <protection locked="0"/>
    </xf>
    <xf numFmtId="0" fontId="52" fillId="4" borderId="79" xfId="0" applyFont="1" applyFill="1" applyBorder="1" applyAlignment="1" applyProtection="1">
      <alignment horizontal="center" vertical="center"/>
      <protection locked="0"/>
    </xf>
    <xf numFmtId="0" fontId="19" fillId="8" borderId="36" xfId="0" applyFont="1" applyFill="1" applyBorder="1" applyAlignment="1">
      <alignment horizontal="center" vertical="top"/>
    </xf>
    <xf numFmtId="0" fontId="19" fillId="8" borderId="0" xfId="0" applyFont="1" applyFill="1" applyAlignment="1">
      <alignment horizontal="center" vertical="top"/>
    </xf>
    <xf numFmtId="14" fontId="7" fillId="16" borderId="47" xfId="0" applyNumberFormat="1" applyFont="1" applyFill="1" applyBorder="1" applyAlignment="1">
      <alignment horizontal="center"/>
    </xf>
    <xf numFmtId="0" fontId="40" fillId="16" borderId="7" xfId="0" applyFont="1" applyFill="1" applyBorder="1" applyAlignment="1">
      <alignment horizontal="right" wrapText="1"/>
    </xf>
    <xf numFmtId="0" fontId="40" fillId="16" borderId="8" xfId="0" applyFont="1" applyFill="1" applyBorder="1" applyAlignment="1">
      <alignment horizontal="right" wrapText="1"/>
    </xf>
    <xf numFmtId="0" fontId="40" fillId="16" borderId="13" xfId="0" applyFont="1" applyFill="1" applyBorder="1" applyAlignment="1">
      <alignment horizontal="right" wrapText="1"/>
    </xf>
    <xf numFmtId="0" fontId="40" fillId="16" borderId="0" xfId="0" applyFont="1" applyFill="1" applyAlignment="1">
      <alignment horizontal="right" wrapText="1"/>
    </xf>
    <xf numFmtId="0" fontId="40" fillId="16" borderId="8" xfId="0" applyFont="1" applyFill="1" applyBorder="1" applyAlignment="1" applyProtection="1">
      <alignment horizontal="left"/>
      <protection locked="0"/>
    </xf>
    <xf numFmtId="0" fontId="40" fillId="16" borderId="9" xfId="0" applyFont="1" applyFill="1" applyBorder="1" applyAlignment="1" applyProtection="1">
      <alignment horizontal="left"/>
      <protection locked="0"/>
    </xf>
    <xf numFmtId="0" fontId="40" fillId="16" borderId="0" xfId="0" applyFont="1" applyFill="1" applyAlignment="1" applyProtection="1">
      <alignment horizontal="left"/>
      <protection locked="0"/>
    </xf>
    <xf numFmtId="0" fontId="40" fillId="16" borderId="16" xfId="0" applyFont="1" applyFill="1" applyBorder="1" applyAlignment="1" applyProtection="1">
      <alignment horizontal="left"/>
      <protection locked="0"/>
    </xf>
    <xf numFmtId="0" fontId="65" fillId="0" borderId="160" xfId="0" applyFont="1" applyBorder="1" applyAlignment="1">
      <alignment horizontal="left" vertical="top" wrapText="1"/>
    </xf>
    <xf numFmtId="0" fontId="65" fillId="0" borderId="34" xfId="0" applyFont="1" applyBorder="1" applyAlignment="1">
      <alignment horizontal="left" vertical="top" wrapText="1"/>
    </xf>
    <xf numFmtId="0" fontId="65" fillId="0" borderId="161" xfId="0" applyFont="1" applyBorder="1" applyAlignment="1">
      <alignment horizontal="left" vertical="top" wrapText="1"/>
    </xf>
    <xf numFmtId="0" fontId="65" fillId="0" borderId="13" xfId="0" applyFont="1" applyBorder="1" applyAlignment="1">
      <alignment horizontal="left" vertical="top" wrapText="1"/>
    </xf>
    <xf numFmtId="0" fontId="65" fillId="0" borderId="0" xfId="0" applyFont="1" applyAlignment="1">
      <alignment horizontal="left" vertical="top" wrapText="1"/>
    </xf>
    <xf numFmtId="0" fontId="65" fillId="0" borderId="16" xfId="0" applyFont="1" applyBorder="1" applyAlignment="1">
      <alignment horizontal="left" vertical="top" wrapText="1"/>
    </xf>
    <xf numFmtId="0" fontId="65" fillId="0" borderId="162" xfId="0" applyFont="1" applyBorder="1" applyAlignment="1">
      <alignment horizontal="left" vertical="top" wrapText="1"/>
    </xf>
    <xf numFmtId="0" fontId="65" fillId="0" borderId="39" xfId="0" applyFont="1" applyBorder="1" applyAlignment="1">
      <alignment horizontal="left" vertical="top" wrapText="1"/>
    </xf>
    <xf numFmtId="0" fontId="65" fillId="0" borderId="163" xfId="0" applyFont="1" applyBorder="1" applyAlignment="1">
      <alignment horizontal="left" vertical="top" wrapText="1"/>
    </xf>
    <xf numFmtId="0" fontId="3" fillId="0" borderId="160" xfId="0" applyFont="1" applyBorder="1" applyAlignment="1">
      <alignment horizontal="left" vertical="top" wrapText="1"/>
    </xf>
    <xf numFmtId="0" fontId="3" fillId="0" borderId="34" xfId="0" applyFont="1" applyBorder="1" applyAlignment="1">
      <alignment horizontal="left" vertical="top" wrapText="1"/>
    </xf>
    <xf numFmtId="0" fontId="3" fillId="0" borderId="161" xfId="0" applyFont="1" applyBorder="1" applyAlignment="1">
      <alignment horizontal="left" vertical="top" wrapText="1"/>
    </xf>
    <xf numFmtId="0" fontId="3" fillId="0" borderId="13" xfId="0" applyFont="1" applyBorder="1" applyAlignment="1">
      <alignment horizontal="left" vertical="top" wrapText="1"/>
    </xf>
    <xf numFmtId="0" fontId="3" fillId="0" borderId="16" xfId="0" applyFont="1" applyBorder="1" applyAlignment="1">
      <alignment horizontal="left" vertical="top" wrapText="1"/>
    </xf>
    <xf numFmtId="0" fontId="3" fillId="0" borderId="17" xfId="0" applyFont="1" applyBorder="1" applyAlignment="1">
      <alignment horizontal="left" vertical="top" wrapText="1"/>
    </xf>
    <xf numFmtId="0" fontId="3" fillId="0" borderId="18" xfId="0" applyFont="1" applyBorder="1" applyAlignment="1">
      <alignment horizontal="left" vertical="top" wrapText="1"/>
    </xf>
    <xf numFmtId="0" fontId="3" fillId="0" borderId="3" xfId="0" applyFont="1" applyBorder="1" applyAlignment="1">
      <alignment horizontal="left" vertical="top" wrapText="1"/>
    </xf>
    <xf numFmtId="0" fontId="19" fillId="8" borderId="152" xfId="0" applyFont="1" applyFill="1" applyBorder="1" applyAlignment="1">
      <alignment horizontal="right"/>
    </xf>
    <xf numFmtId="0" fontId="19" fillId="8" borderId="153" xfId="0" applyFont="1" applyFill="1" applyBorder="1" applyAlignment="1">
      <alignment horizontal="right"/>
    </xf>
    <xf numFmtId="0" fontId="19" fillId="8" borderId="150" xfId="0" applyFont="1" applyFill="1" applyBorder="1" applyAlignment="1">
      <alignment horizontal="right"/>
    </xf>
    <xf numFmtId="0" fontId="18" fillId="6" borderId="34" xfId="0" applyFont="1" applyFill="1" applyBorder="1" applyAlignment="1" applyProtection="1">
      <alignment horizontal="left" vertical="top" wrapText="1"/>
      <protection locked="0"/>
    </xf>
    <xf numFmtId="0" fontId="9" fillId="8" borderId="130" xfId="0" applyFont="1" applyFill="1" applyBorder="1" applyAlignment="1">
      <alignment horizontal="center"/>
    </xf>
    <xf numFmtId="0" fontId="10" fillId="4" borderId="69" xfId="0" applyFont="1" applyFill="1" applyBorder="1" applyAlignment="1" applyProtection="1">
      <alignment horizontal="left"/>
      <protection locked="0"/>
    </xf>
    <xf numFmtId="0" fontId="10" fillId="4" borderId="70" xfId="0" applyFont="1" applyFill="1" applyBorder="1" applyAlignment="1" applyProtection="1">
      <alignment horizontal="left"/>
      <protection locked="0"/>
    </xf>
    <xf numFmtId="0" fontId="10" fillId="4" borderId="131" xfId="0" applyFont="1" applyFill="1" applyBorder="1" applyAlignment="1" applyProtection="1">
      <alignment horizontal="left"/>
      <protection locked="0"/>
    </xf>
    <xf numFmtId="0" fontId="19" fillId="8" borderId="35" xfId="0" applyFont="1" applyFill="1" applyBorder="1" applyAlignment="1">
      <alignment horizontal="center"/>
    </xf>
    <xf numFmtId="0" fontId="61" fillId="8" borderId="141" xfId="0" applyFont="1" applyFill="1" applyBorder="1" applyAlignment="1">
      <alignment horizontal="left" vertical="top" wrapText="1"/>
    </xf>
    <xf numFmtId="0" fontId="61" fillId="8" borderId="142" xfId="0" applyFont="1" applyFill="1" applyBorder="1" applyAlignment="1">
      <alignment horizontal="left" vertical="top" wrapText="1"/>
    </xf>
    <xf numFmtId="0" fontId="61" fillId="8" borderId="65" xfId="0" applyFont="1" applyFill="1" applyBorder="1" applyAlignment="1">
      <alignment horizontal="left" vertical="top" wrapText="1"/>
    </xf>
    <xf numFmtId="0" fontId="31" fillId="8" borderId="100" xfId="0" applyFont="1" applyFill="1" applyBorder="1" applyAlignment="1">
      <alignment horizontal="center" vertical="center"/>
    </xf>
    <xf numFmtId="0" fontId="31" fillId="8" borderId="47" xfId="0" applyFont="1" applyFill="1" applyBorder="1" applyAlignment="1">
      <alignment horizontal="center" vertical="center"/>
    </xf>
    <xf numFmtId="0" fontId="31" fillId="8" borderId="101" xfId="0" applyFont="1" applyFill="1" applyBorder="1" applyAlignment="1">
      <alignment horizontal="center" vertical="center"/>
    </xf>
    <xf numFmtId="0" fontId="31" fillId="8" borderId="56" xfId="0" applyFont="1" applyFill="1" applyBorder="1" applyAlignment="1">
      <alignment horizontal="center" vertical="center"/>
    </xf>
    <xf numFmtId="0" fontId="33" fillId="4" borderId="93" xfId="0" applyFont="1" applyFill="1" applyBorder="1" applyAlignment="1" applyProtection="1">
      <alignment horizontal="center" vertical="center"/>
      <protection locked="0"/>
    </xf>
    <xf numFmtId="0" fontId="33" fillId="4" borderId="102" xfId="0" applyFont="1" applyFill="1" applyBorder="1" applyAlignment="1" applyProtection="1">
      <alignment horizontal="center" vertical="center"/>
      <protection locked="0"/>
    </xf>
    <xf numFmtId="0" fontId="14" fillId="8" borderId="121" xfId="0" applyFont="1" applyFill="1" applyBorder="1" applyAlignment="1">
      <alignment horizontal="left" wrapText="1"/>
    </xf>
    <xf numFmtId="0" fontId="14" fillId="8" borderId="80" xfId="0" applyFont="1" applyFill="1" applyBorder="1" applyAlignment="1">
      <alignment horizontal="left" wrapText="1"/>
    </xf>
    <xf numFmtId="0" fontId="19" fillId="8" borderId="100" xfId="0" applyFont="1" applyFill="1" applyBorder="1" applyAlignment="1">
      <alignment horizontal="left"/>
    </xf>
    <xf numFmtId="0" fontId="19" fillId="8" borderId="47" xfId="0" applyFont="1" applyFill="1" applyBorder="1" applyAlignment="1">
      <alignment horizontal="left"/>
    </xf>
    <xf numFmtId="0" fontId="62" fillId="3" borderId="0" xfId="2" applyFont="1" applyFill="1" applyBorder="1" applyAlignment="1" applyProtection="1">
      <alignment horizontal="center" vertical="center"/>
    </xf>
    <xf numFmtId="0" fontId="63" fillId="3" borderId="33" xfId="0" applyFont="1" applyFill="1" applyBorder="1" applyAlignment="1">
      <alignment horizontal="center" vertical="center"/>
    </xf>
    <xf numFmtId="0" fontId="63" fillId="3" borderId="34" xfId="0" applyFont="1" applyFill="1" applyBorder="1" applyAlignment="1">
      <alignment horizontal="center" vertical="center"/>
    </xf>
    <xf numFmtId="0" fontId="63" fillId="3" borderId="35" xfId="0" applyFont="1" applyFill="1" applyBorder="1" applyAlignment="1">
      <alignment horizontal="center" vertical="center"/>
    </xf>
    <xf numFmtId="0" fontId="63" fillId="3" borderId="36" xfId="0" applyFont="1" applyFill="1" applyBorder="1" applyAlignment="1">
      <alignment horizontal="center" vertical="center"/>
    </xf>
    <xf numFmtId="0" fontId="63" fillId="3" borderId="0" xfId="0" applyFont="1" applyFill="1" applyAlignment="1">
      <alignment horizontal="center" vertical="center"/>
    </xf>
    <xf numFmtId="0" fontId="63" fillId="3" borderId="37" xfId="0" applyFont="1" applyFill="1" applyBorder="1" applyAlignment="1">
      <alignment horizontal="center" vertical="center"/>
    </xf>
    <xf numFmtId="0" fontId="51" fillId="8" borderId="39" xfId="0" applyFont="1" applyFill="1" applyBorder="1" applyAlignment="1">
      <alignment horizontal="center" vertical="center"/>
    </xf>
    <xf numFmtId="0" fontId="51" fillId="8" borderId="40" xfId="0" applyFont="1" applyFill="1" applyBorder="1" applyAlignment="1">
      <alignment horizontal="center" vertical="center"/>
    </xf>
    <xf numFmtId="0" fontId="51" fillId="8" borderId="38" xfId="0" applyFont="1" applyFill="1" applyBorder="1" applyAlignment="1">
      <alignment horizontal="center" vertical="center"/>
    </xf>
    <xf numFmtId="0" fontId="40" fillId="0" borderId="0" xfId="0" applyFont="1" applyAlignment="1">
      <alignment horizontal="left" vertical="top" wrapText="1"/>
    </xf>
    <xf numFmtId="0" fontId="40" fillId="0" borderId="37" xfId="0" applyFont="1" applyBorder="1" applyAlignment="1">
      <alignment horizontal="left" vertical="top" wrapText="1"/>
    </xf>
    <xf numFmtId="0" fontId="40" fillId="0" borderId="39" xfId="0" applyFont="1" applyBorder="1" applyAlignment="1">
      <alignment horizontal="left" vertical="top" wrapText="1"/>
    </xf>
    <xf numFmtId="0" fontId="40" fillId="0" borderId="40" xfId="0" applyFont="1" applyBorder="1" applyAlignment="1">
      <alignment horizontal="left" vertical="top" wrapText="1"/>
    </xf>
    <xf numFmtId="0" fontId="21" fillId="4" borderId="112" xfId="0" applyFont="1" applyFill="1" applyBorder="1" applyAlignment="1">
      <alignment horizontal="left" vertical="top" wrapText="1"/>
    </xf>
    <xf numFmtId="0" fontId="21" fillId="4" borderId="48" xfId="0" applyFont="1" applyFill="1" applyBorder="1" applyAlignment="1">
      <alignment horizontal="left" vertical="top" wrapText="1"/>
    </xf>
    <xf numFmtId="0" fontId="21" fillId="4" borderId="52" xfId="0" applyFont="1" applyFill="1" applyBorder="1" applyAlignment="1">
      <alignment horizontal="left" vertical="top" wrapText="1"/>
    </xf>
    <xf numFmtId="0" fontId="21" fillId="4" borderId="36" xfId="0" applyFont="1" applyFill="1" applyBorder="1" applyAlignment="1">
      <alignment horizontal="left" vertical="top" wrapText="1"/>
    </xf>
    <xf numFmtId="0" fontId="21" fillId="4" borderId="0" xfId="0" applyFont="1" applyFill="1" applyAlignment="1">
      <alignment horizontal="left" vertical="top" wrapText="1"/>
    </xf>
    <xf numFmtId="0" fontId="21" fillId="4" borderId="37" xfId="0" applyFont="1" applyFill="1" applyBorder="1" applyAlignment="1">
      <alignment horizontal="left" vertical="top" wrapText="1"/>
    </xf>
    <xf numFmtId="0" fontId="21" fillId="4" borderId="38" xfId="0" applyFont="1" applyFill="1" applyBorder="1" applyAlignment="1">
      <alignment horizontal="left" vertical="top" wrapText="1"/>
    </xf>
    <xf numFmtId="0" fontId="21" fillId="4" borderId="39" xfId="0" applyFont="1" applyFill="1" applyBorder="1" applyAlignment="1">
      <alignment horizontal="left" vertical="top" wrapText="1"/>
    </xf>
    <xf numFmtId="0" fontId="21" fillId="4" borderId="40" xfId="0" applyFont="1" applyFill="1" applyBorder="1" applyAlignment="1">
      <alignment horizontal="left" vertical="top" wrapText="1"/>
    </xf>
    <xf numFmtId="0" fontId="50" fillId="0" borderId="30" xfId="0" applyFont="1" applyBorder="1" applyAlignment="1">
      <alignment horizontal="left" vertical="top"/>
    </xf>
    <xf numFmtId="0" fontId="50" fillId="0" borderId="89" xfId="0" applyFont="1" applyBorder="1" applyAlignment="1">
      <alignment horizontal="left" vertical="top"/>
    </xf>
    <xf numFmtId="0" fontId="50" fillId="0" borderId="125" xfId="0" applyFont="1" applyBorder="1" applyAlignment="1">
      <alignment horizontal="left" vertical="top"/>
    </xf>
    <xf numFmtId="0" fontId="50" fillId="0" borderId="21" xfId="0" applyFont="1" applyBorder="1" applyAlignment="1">
      <alignment horizontal="left" vertical="top"/>
    </xf>
    <xf numFmtId="0" fontId="50" fillId="0" borderId="29" xfId="0" applyFont="1" applyBorder="1" applyAlignment="1">
      <alignment horizontal="left" vertical="top"/>
    </xf>
    <xf numFmtId="0" fontId="50" fillId="0" borderId="126" xfId="0" applyFont="1" applyBorder="1" applyAlignment="1">
      <alignment horizontal="left" vertical="top"/>
    </xf>
    <xf numFmtId="14" fontId="44" fillId="0" borderId="30" xfId="0" applyNumberFormat="1" applyFont="1" applyBorder="1" applyAlignment="1">
      <alignment horizontal="left" vertical="top"/>
    </xf>
    <xf numFmtId="0" fontId="44" fillId="0" borderId="89" xfId="0" applyFont="1" applyBorder="1" applyAlignment="1">
      <alignment horizontal="left" vertical="top"/>
    </xf>
    <xf numFmtId="0" fontId="44" fillId="0" borderId="125" xfId="0" applyFont="1" applyBorder="1" applyAlignment="1">
      <alignment horizontal="left" vertical="top"/>
    </xf>
    <xf numFmtId="0" fontId="44" fillId="0" borderId="21" xfId="0" applyFont="1" applyBorder="1" applyAlignment="1">
      <alignment horizontal="left" vertical="top"/>
    </xf>
    <xf numFmtId="0" fontId="44" fillId="0" borderId="29" xfId="0" applyFont="1" applyBorder="1" applyAlignment="1">
      <alignment horizontal="left" vertical="top"/>
    </xf>
    <xf numFmtId="0" fontId="44" fillId="0" borderId="126" xfId="0" applyFont="1" applyBorder="1" applyAlignment="1">
      <alignment horizontal="left" vertical="top"/>
    </xf>
    <xf numFmtId="0" fontId="40" fillId="0" borderId="33" xfId="0" applyFont="1" applyBorder="1" applyAlignment="1">
      <alignment horizontal="left" vertical="top" wrapText="1"/>
    </xf>
    <xf numFmtId="0" fontId="40" fillId="0" borderId="34" xfId="0" applyFont="1" applyBorder="1" applyAlignment="1">
      <alignment horizontal="left" vertical="top" wrapText="1"/>
    </xf>
    <xf numFmtId="0" fontId="40" fillId="0" borderId="35" xfId="0" applyFont="1" applyBorder="1" applyAlignment="1">
      <alignment horizontal="left" vertical="top" wrapText="1"/>
    </xf>
    <xf numFmtId="0" fontId="40" fillId="0" borderId="36" xfId="0" applyFont="1" applyBorder="1" applyAlignment="1">
      <alignment horizontal="left" vertical="top" wrapText="1"/>
    </xf>
    <xf numFmtId="0" fontId="40" fillId="0" borderId="38" xfId="0" applyFont="1" applyBorder="1" applyAlignment="1">
      <alignment horizontal="left" vertical="top" wrapText="1"/>
    </xf>
    <xf numFmtId="0" fontId="20" fillId="20" borderId="33" xfId="0" applyFont="1" applyFill="1" applyBorder="1" applyAlignment="1">
      <alignment horizontal="center"/>
    </xf>
    <xf numFmtId="0" fontId="20" fillId="20" borderId="34" xfId="0" applyFont="1" applyFill="1" applyBorder="1" applyAlignment="1">
      <alignment horizontal="center"/>
    </xf>
    <xf numFmtId="0" fontId="20" fillId="20" borderId="35" xfId="0" applyFont="1" applyFill="1" applyBorder="1" applyAlignment="1">
      <alignment horizontal="center"/>
    </xf>
    <xf numFmtId="9" fontId="37" fillId="0" borderId="74" xfId="0" applyNumberFormat="1" applyFont="1" applyBorder="1" applyAlignment="1">
      <alignment horizontal="center" vertical="center"/>
    </xf>
    <xf numFmtId="9" fontId="37" fillId="0" borderId="52" xfId="0" applyNumberFormat="1" applyFont="1" applyBorder="1" applyAlignment="1">
      <alignment horizontal="center" vertical="center"/>
    </xf>
    <xf numFmtId="9" fontId="37" fillId="0" borderId="49" xfId="0" applyNumberFormat="1" applyFont="1" applyBorder="1" applyAlignment="1">
      <alignment horizontal="center" vertical="center"/>
    </xf>
    <xf numFmtId="9" fontId="37" fillId="0" borderId="37" xfId="0" applyNumberFormat="1" applyFont="1" applyBorder="1" applyAlignment="1">
      <alignment horizontal="center" vertical="center"/>
    </xf>
    <xf numFmtId="9" fontId="37" fillId="0" borderId="75" xfId="0" applyNumberFormat="1" applyFont="1" applyBorder="1" applyAlignment="1">
      <alignment horizontal="center" vertical="center"/>
    </xf>
    <xf numFmtId="9" fontId="37" fillId="0" borderId="76" xfId="0" applyNumberFormat="1" applyFont="1" applyBorder="1" applyAlignment="1">
      <alignment horizontal="center" vertical="center"/>
    </xf>
    <xf numFmtId="0" fontId="36" fillId="8" borderId="113" xfId="0" applyFont="1" applyFill="1" applyBorder="1" applyAlignment="1">
      <alignment horizontal="center" vertical="center" wrapText="1"/>
    </xf>
    <xf numFmtId="0" fontId="20" fillId="8" borderId="103" xfId="0" applyFont="1" applyFill="1" applyBorder="1" applyAlignment="1">
      <alignment horizontal="center"/>
    </xf>
    <xf numFmtId="0" fontId="20" fillId="8" borderId="77" xfId="0" applyFont="1" applyFill="1" applyBorder="1" applyAlignment="1">
      <alignment horizontal="center"/>
    </xf>
    <xf numFmtId="0" fontId="20" fillId="8" borderId="78" xfId="0" applyFont="1" applyFill="1" applyBorder="1" applyAlignment="1">
      <alignment horizontal="center"/>
    </xf>
    <xf numFmtId="0" fontId="49" fillId="8" borderId="100" xfId="0" applyFont="1" applyFill="1" applyBorder="1" applyAlignment="1">
      <alignment horizontal="left" vertical="top" wrapText="1"/>
    </xf>
    <xf numFmtId="0" fontId="49" fillId="8" borderId="47" xfId="0" applyFont="1" applyFill="1" applyBorder="1" applyAlignment="1">
      <alignment horizontal="left" vertical="top" wrapText="1"/>
    </xf>
    <xf numFmtId="0" fontId="49" fillId="8" borderId="101" xfId="0" applyFont="1" applyFill="1" applyBorder="1" applyAlignment="1">
      <alignment horizontal="left" vertical="top" wrapText="1"/>
    </xf>
    <xf numFmtId="0" fontId="49" fillId="8" borderId="56" xfId="0" applyFont="1" applyFill="1" applyBorder="1" applyAlignment="1">
      <alignment horizontal="left" vertical="top" wrapText="1"/>
    </xf>
    <xf numFmtId="0" fontId="49" fillId="8" borderId="93" xfId="0" applyFont="1" applyFill="1" applyBorder="1" applyAlignment="1">
      <alignment horizontal="left" vertical="top" wrapText="1"/>
    </xf>
    <xf numFmtId="0" fontId="49" fillId="8" borderId="102" xfId="0" applyFont="1" applyFill="1" applyBorder="1" applyAlignment="1">
      <alignment horizontal="left" vertical="top" wrapText="1"/>
    </xf>
    <xf numFmtId="0" fontId="28" fillId="6" borderId="36" xfId="0" applyFont="1" applyFill="1" applyBorder="1" applyAlignment="1">
      <alignment horizontal="left" vertical="top" wrapText="1"/>
    </xf>
    <xf numFmtId="0" fontId="28" fillId="6" borderId="37" xfId="0" applyFont="1" applyFill="1" applyBorder="1" applyAlignment="1">
      <alignment horizontal="left" vertical="top" wrapText="1"/>
    </xf>
    <xf numFmtId="0" fontId="28" fillId="6" borderId="38" xfId="0" applyFont="1" applyFill="1" applyBorder="1" applyAlignment="1">
      <alignment horizontal="left" vertical="top" wrapText="1"/>
    </xf>
    <xf numFmtId="0" fontId="28" fillId="6" borderId="40" xfId="0" applyFont="1" applyFill="1" applyBorder="1" applyAlignment="1">
      <alignment horizontal="left" vertical="top" wrapText="1"/>
    </xf>
    <xf numFmtId="0" fontId="17" fillId="8" borderId="90" xfId="0" applyFont="1" applyFill="1" applyBorder="1" applyAlignment="1">
      <alignment horizontal="center" vertical="center" wrapText="1"/>
    </xf>
    <xf numFmtId="0" fontId="17" fillId="8" borderId="91" xfId="0" applyFont="1" applyFill="1" applyBorder="1" applyAlignment="1">
      <alignment horizontal="center" vertical="center" wrapText="1"/>
    </xf>
    <xf numFmtId="0" fontId="20" fillId="20" borderId="33" xfId="0" applyFont="1" applyFill="1" applyBorder="1" applyAlignment="1">
      <alignment horizontal="center" wrapText="1"/>
    </xf>
    <xf numFmtId="0" fontId="20" fillId="20" borderId="35" xfId="0" applyFont="1" applyFill="1" applyBorder="1" applyAlignment="1">
      <alignment horizontal="center" wrapText="1"/>
    </xf>
    <xf numFmtId="9" fontId="34" fillId="7" borderId="91" xfId="1" applyFont="1" applyFill="1" applyBorder="1" applyAlignment="1" applyProtection="1">
      <alignment horizontal="center" vertical="center"/>
    </xf>
    <xf numFmtId="9" fontId="34" fillId="7" borderId="92" xfId="1" applyFont="1" applyFill="1" applyBorder="1" applyAlignment="1" applyProtection="1">
      <alignment horizontal="center" vertical="center"/>
    </xf>
    <xf numFmtId="0" fontId="36" fillId="8" borderId="73" xfId="0" applyFont="1" applyFill="1" applyBorder="1" applyAlignment="1">
      <alignment horizontal="center" vertical="center" wrapText="1"/>
    </xf>
    <xf numFmtId="0" fontId="36" fillId="8" borderId="36" xfId="0" applyFont="1" applyFill="1" applyBorder="1" applyAlignment="1">
      <alignment horizontal="center" vertical="center" wrapText="1"/>
    </xf>
    <xf numFmtId="0" fontId="36" fillId="8" borderId="38" xfId="0" applyFont="1" applyFill="1" applyBorder="1" applyAlignment="1">
      <alignment horizontal="center" vertical="center" wrapText="1"/>
    </xf>
    <xf numFmtId="9" fontId="37" fillId="0" borderId="48" xfId="0" applyNumberFormat="1" applyFont="1" applyBorder="1" applyAlignment="1">
      <alignment horizontal="center" vertical="center"/>
    </xf>
    <xf numFmtId="9" fontId="37" fillId="0" borderId="0" xfId="0" applyNumberFormat="1" applyFont="1" applyAlignment="1">
      <alignment horizontal="center" vertical="center"/>
    </xf>
    <xf numFmtId="9" fontId="37" fillId="0" borderId="39" xfId="0" applyNumberFormat="1" applyFont="1" applyBorder="1" applyAlignment="1">
      <alignment horizontal="center" vertical="center"/>
    </xf>
    <xf numFmtId="9" fontId="37" fillId="0" borderId="40" xfId="0" applyNumberFormat="1" applyFont="1" applyBorder="1" applyAlignment="1">
      <alignment horizontal="center" vertical="center"/>
    </xf>
    <xf numFmtId="0" fontId="0" fillId="3" borderId="0" xfId="0" applyFill="1" applyAlignment="1">
      <alignment horizontal="center"/>
    </xf>
    <xf numFmtId="0" fontId="0" fillId="3" borderId="37" xfId="0" applyFill="1" applyBorder="1" applyAlignment="1">
      <alignment horizontal="center"/>
    </xf>
    <xf numFmtId="0" fontId="20" fillId="20" borderId="103" xfId="0" applyFont="1" applyFill="1" applyBorder="1" applyAlignment="1">
      <alignment horizontal="center"/>
    </xf>
    <xf numFmtId="0" fontId="20" fillId="20" borderId="77" xfId="0" applyFont="1" applyFill="1" applyBorder="1" applyAlignment="1">
      <alignment horizontal="center"/>
    </xf>
    <xf numFmtId="0" fontId="20" fillId="20" borderId="78" xfId="0" applyFont="1" applyFill="1" applyBorder="1" applyAlignment="1">
      <alignment horizontal="center"/>
    </xf>
    <xf numFmtId="0" fontId="28" fillId="7" borderId="112" xfId="0" applyFont="1" applyFill="1" applyBorder="1" applyAlignment="1">
      <alignment horizontal="left" vertical="top" wrapText="1"/>
    </xf>
    <xf numFmtId="0" fontId="28" fillId="7" borderId="48" xfId="0" applyFont="1" applyFill="1" applyBorder="1" applyAlignment="1">
      <alignment horizontal="left" vertical="top" wrapText="1"/>
    </xf>
    <xf numFmtId="0" fontId="28" fillId="7" borderId="52" xfId="0" applyFont="1" applyFill="1" applyBorder="1" applyAlignment="1">
      <alignment horizontal="left" vertical="top" wrapText="1"/>
    </xf>
    <xf numFmtId="0" fontId="28" fillId="7" borderId="36" xfId="0" applyFont="1" applyFill="1" applyBorder="1" applyAlignment="1">
      <alignment horizontal="left" vertical="top" wrapText="1"/>
    </xf>
    <xf numFmtId="0" fontId="28" fillId="7" borderId="0" xfId="0" applyFont="1" applyFill="1" applyAlignment="1">
      <alignment horizontal="left" vertical="top" wrapText="1"/>
    </xf>
    <xf numFmtId="0" fontId="28" fillId="7" borderId="37" xfId="0" applyFont="1" applyFill="1" applyBorder="1" applyAlignment="1">
      <alignment horizontal="left" vertical="top" wrapText="1"/>
    </xf>
    <xf numFmtId="0" fontId="28" fillId="7" borderId="38" xfId="0" applyFont="1" applyFill="1" applyBorder="1" applyAlignment="1">
      <alignment horizontal="left" vertical="top" wrapText="1"/>
    </xf>
    <xf numFmtId="0" fontId="28" fillId="7" borderId="39" xfId="0" applyFont="1" applyFill="1" applyBorder="1" applyAlignment="1">
      <alignment horizontal="left" vertical="top" wrapText="1"/>
    </xf>
    <xf numFmtId="0" fontId="28" fillId="7" borderId="40" xfId="0" applyFont="1" applyFill="1" applyBorder="1" applyAlignment="1">
      <alignment horizontal="left" vertical="top" wrapText="1"/>
    </xf>
    <xf numFmtId="0" fontId="39" fillId="4" borderId="27" xfId="0" applyFont="1" applyFill="1" applyBorder="1" applyAlignment="1">
      <alignment horizontal="center" vertical="center" wrapText="1"/>
    </xf>
    <xf numFmtId="0" fontId="39" fillId="4" borderId="37" xfId="0" applyFont="1" applyFill="1" applyBorder="1" applyAlignment="1">
      <alignment horizontal="center" vertical="center" wrapText="1"/>
    </xf>
    <xf numFmtId="0" fontId="39" fillId="4" borderId="55" xfId="0" applyFont="1" applyFill="1" applyBorder="1" applyAlignment="1">
      <alignment horizontal="center" vertical="center" wrapText="1"/>
    </xf>
    <xf numFmtId="0" fontId="39" fillId="4" borderId="40" xfId="0" applyFont="1" applyFill="1" applyBorder="1" applyAlignment="1">
      <alignment horizontal="center" vertical="center" wrapText="1"/>
    </xf>
    <xf numFmtId="0" fontId="22" fillId="6" borderId="36" xfId="0" applyFont="1" applyFill="1" applyBorder="1" applyAlignment="1">
      <alignment horizontal="left" vertical="top" wrapText="1"/>
    </xf>
    <xf numFmtId="0" fontId="22" fillId="6" borderId="37" xfId="0" applyFont="1" applyFill="1" applyBorder="1" applyAlignment="1">
      <alignment horizontal="left" vertical="top" wrapText="1"/>
    </xf>
    <xf numFmtId="0" fontId="22" fillId="6" borderId="38" xfId="0" applyFont="1" applyFill="1" applyBorder="1" applyAlignment="1">
      <alignment horizontal="left" vertical="top" wrapText="1"/>
    </xf>
    <xf numFmtId="0" fontId="22" fillId="6" borderId="40" xfId="0" applyFont="1" applyFill="1" applyBorder="1" applyAlignment="1">
      <alignment horizontal="left" vertical="top" wrapText="1"/>
    </xf>
    <xf numFmtId="0" fontId="23" fillId="20" borderId="47" xfId="0" applyFont="1" applyFill="1" applyBorder="1" applyAlignment="1">
      <alignment horizontal="center"/>
    </xf>
    <xf numFmtId="0" fontId="23" fillId="20" borderId="93" xfId="0" applyFont="1" applyFill="1" applyBorder="1" applyAlignment="1">
      <alignment horizontal="center"/>
    </xf>
    <xf numFmtId="0" fontId="25" fillId="4" borderId="49" xfId="0" applyFont="1" applyFill="1" applyBorder="1" applyAlignment="1">
      <alignment horizontal="center"/>
    </xf>
    <xf numFmtId="0" fontId="25" fillId="4" borderId="27" xfId="0" applyFont="1" applyFill="1" applyBorder="1" applyAlignment="1">
      <alignment horizontal="center"/>
    </xf>
    <xf numFmtId="9" fontId="26" fillId="4" borderId="49" xfId="0" applyNumberFormat="1" applyFont="1" applyFill="1" applyBorder="1" applyAlignment="1">
      <alignment horizontal="center" vertical="center"/>
    </xf>
    <xf numFmtId="0" fontId="25" fillId="4" borderId="26" xfId="0" applyFont="1" applyFill="1" applyBorder="1" applyAlignment="1">
      <alignment horizontal="center"/>
    </xf>
    <xf numFmtId="0" fontId="25" fillId="4" borderId="37" xfId="0" applyFont="1" applyFill="1" applyBorder="1" applyAlignment="1">
      <alignment horizontal="center"/>
    </xf>
    <xf numFmtId="9" fontId="12" fillId="0" borderId="31" xfId="0" applyNumberFormat="1" applyFont="1" applyBorder="1" applyAlignment="1">
      <alignment horizontal="center" vertical="center"/>
    </xf>
    <xf numFmtId="0" fontId="12" fillId="0" borderId="31" xfId="0" applyFont="1" applyBorder="1" applyAlignment="1">
      <alignment horizontal="center" vertical="center"/>
    </xf>
    <xf numFmtId="0" fontId="12" fillId="0" borderId="119" xfId="0" applyFont="1" applyBorder="1" applyAlignment="1">
      <alignment horizontal="center" vertical="center"/>
    </xf>
    <xf numFmtId="0" fontId="21" fillId="10" borderId="47" xfId="0" applyFont="1" applyFill="1" applyBorder="1" applyAlignment="1">
      <alignment horizontal="left"/>
    </xf>
    <xf numFmtId="0" fontId="21" fillId="10" borderId="56" xfId="0" applyFont="1" applyFill="1" applyBorder="1" applyAlignment="1">
      <alignment horizontal="left" wrapText="1"/>
    </xf>
    <xf numFmtId="0" fontId="51" fillId="18" borderId="0" xfId="0" applyFont="1" applyFill="1" applyAlignment="1">
      <alignment horizontal="left" vertical="center"/>
    </xf>
    <xf numFmtId="0" fontId="30" fillId="3" borderId="0" xfId="2" applyFont="1" applyFill="1" applyBorder="1" applyAlignment="1" applyProtection="1">
      <alignment horizontal="center"/>
    </xf>
    <xf numFmtId="0" fontId="30" fillId="3" borderId="37" xfId="2" applyFont="1" applyFill="1" applyBorder="1" applyAlignment="1" applyProtection="1">
      <alignment horizontal="center"/>
    </xf>
    <xf numFmtId="0" fontId="19" fillId="3" borderId="0" xfId="0" applyFont="1" applyFill="1" applyAlignment="1">
      <alignment horizontal="left"/>
    </xf>
    <xf numFmtId="0" fontId="19" fillId="3" borderId="37" xfId="0" applyFont="1" applyFill="1" applyBorder="1" applyAlignment="1">
      <alignment horizontal="left"/>
    </xf>
    <xf numFmtId="0" fontId="51" fillId="18" borderId="36" xfId="0" applyFont="1" applyFill="1" applyBorder="1" applyAlignment="1" applyProtection="1">
      <alignment horizontal="right" vertical="center"/>
      <protection locked="0"/>
    </xf>
    <xf numFmtId="9" fontId="26" fillId="4" borderId="49" xfId="1" applyFont="1" applyFill="1" applyBorder="1" applyAlignment="1" applyProtection="1">
      <alignment horizontal="center" vertical="center"/>
    </xf>
    <xf numFmtId="0" fontId="23" fillId="20" borderId="98" xfId="0" applyFont="1" applyFill="1" applyBorder="1" applyAlignment="1">
      <alignment horizontal="center"/>
    </xf>
    <xf numFmtId="0" fontId="23" fillId="20" borderId="97" xfId="0" applyFont="1" applyFill="1" applyBorder="1" applyAlignment="1">
      <alignment horizontal="center"/>
    </xf>
    <xf numFmtId="0" fontId="23" fillId="20" borderId="99" xfId="0" applyFont="1" applyFill="1" applyBorder="1" applyAlignment="1">
      <alignment horizontal="center"/>
    </xf>
    <xf numFmtId="0" fontId="27" fillId="4" borderId="36" xfId="0" applyFont="1" applyFill="1" applyBorder="1" applyAlignment="1">
      <alignment horizontal="left" vertical="top" wrapText="1"/>
    </xf>
    <xf numFmtId="0" fontId="27" fillId="4" borderId="0" xfId="0" applyFont="1" applyFill="1" applyAlignment="1">
      <alignment horizontal="left" vertical="top" wrapText="1"/>
    </xf>
    <xf numFmtId="0" fontId="27" fillId="4" borderId="37" xfId="0" applyFont="1" applyFill="1" applyBorder="1" applyAlignment="1">
      <alignment horizontal="left" vertical="top" wrapText="1"/>
    </xf>
    <xf numFmtId="0" fontId="27" fillId="4" borderId="38" xfId="0" applyFont="1" applyFill="1" applyBorder="1" applyAlignment="1">
      <alignment horizontal="left" vertical="top" wrapText="1"/>
    </xf>
    <xf numFmtId="0" fontId="27" fillId="4" borderId="39" xfId="0" applyFont="1" applyFill="1" applyBorder="1" applyAlignment="1">
      <alignment horizontal="left" vertical="top" wrapText="1"/>
    </xf>
    <xf numFmtId="0" fontId="27" fillId="4" borderId="40" xfId="0" applyFont="1" applyFill="1" applyBorder="1" applyAlignment="1">
      <alignment horizontal="left" vertical="top" wrapText="1"/>
    </xf>
    <xf numFmtId="9" fontId="26" fillId="4" borderId="26" xfId="0" applyNumberFormat="1" applyFont="1" applyFill="1" applyBorder="1" applyAlignment="1">
      <alignment horizontal="center" vertical="center"/>
    </xf>
    <xf numFmtId="9" fontId="26" fillId="4" borderId="26" xfId="1" applyFont="1" applyFill="1" applyBorder="1" applyAlignment="1" applyProtection="1">
      <alignment horizontal="center" vertical="center"/>
    </xf>
    <xf numFmtId="9" fontId="26" fillId="4" borderId="79" xfId="1" applyFont="1" applyFill="1" applyBorder="1" applyAlignment="1" applyProtection="1">
      <alignment horizontal="center" vertical="center"/>
    </xf>
    <xf numFmtId="9" fontId="26" fillId="4" borderId="54" xfId="1" applyFont="1" applyFill="1" applyBorder="1" applyAlignment="1" applyProtection="1">
      <alignment horizontal="center" vertical="center"/>
    </xf>
    <xf numFmtId="0" fontId="20" fillId="20" borderId="47" xfId="0" applyFont="1" applyFill="1" applyBorder="1" applyAlignment="1">
      <alignment horizontal="center" wrapText="1"/>
    </xf>
    <xf numFmtId="0" fontId="20" fillId="20" borderId="93" xfId="0" applyFont="1" applyFill="1" applyBorder="1" applyAlignment="1">
      <alignment horizontal="center" wrapText="1"/>
    </xf>
    <xf numFmtId="9" fontId="12" fillId="0" borderId="117" xfId="0" applyNumberFormat="1" applyFont="1" applyBorder="1" applyAlignment="1">
      <alignment horizontal="center" vertical="center"/>
    </xf>
    <xf numFmtId="0" fontId="12" fillId="0" borderId="117" xfId="0" applyFont="1" applyBorder="1" applyAlignment="1">
      <alignment horizontal="center" vertical="center"/>
    </xf>
    <xf numFmtId="0" fontId="12" fillId="0" borderId="120" xfId="0" applyFont="1" applyBorder="1" applyAlignment="1">
      <alignment horizontal="center" vertical="center"/>
    </xf>
    <xf numFmtId="0" fontId="20" fillId="20" borderId="100" xfId="0" applyFont="1" applyFill="1" applyBorder="1" applyAlignment="1">
      <alignment horizontal="center"/>
    </xf>
    <xf numFmtId="0" fontId="19" fillId="8" borderId="116" xfId="0" applyFont="1" applyFill="1" applyBorder="1" applyAlignment="1">
      <alignment horizontal="center" wrapText="1"/>
    </xf>
    <xf numFmtId="0" fontId="19" fillId="8" borderId="118" xfId="0" applyFont="1" applyFill="1" applyBorder="1" applyAlignment="1">
      <alignment horizontal="center" wrapText="1"/>
    </xf>
    <xf numFmtId="0" fontId="20" fillId="20" borderId="97" xfId="0" applyFont="1" applyFill="1" applyBorder="1" applyAlignment="1">
      <alignment horizontal="center"/>
    </xf>
    <xf numFmtId="0" fontId="20" fillId="20" borderId="98" xfId="0" applyFont="1" applyFill="1" applyBorder="1" applyAlignment="1">
      <alignment horizontal="center"/>
    </xf>
    <xf numFmtId="0" fontId="20" fillId="20" borderId="99" xfId="0" applyFont="1" applyFill="1" applyBorder="1" applyAlignment="1">
      <alignment horizontal="center"/>
    </xf>
    <xf numFmtId="0" fontId="23" fillId="8" borderId="33" xfId="0" applyFont="1" applyFill="1" applyBorder="1" applyAlignment="1">
      <alignment horizontal="left" vertical="top" wrapText="1"/>
    </xf>
    <xf numFmtId="0" fontId="23" fillId="8" borderId="115" xfId="0" applyFont="1" applyFill="1" applyBorder="1" applyAlignment="1">
      <alignment horizontal="left" vertical="top" wrapText="1"/>
    </xf>
    <xf numFmtId="0" fontId="23" fillId="8" borderId="36" xfId="0" applyFont="1" applyFill="1" applyBorder="1" applyAlignment="1">
      <alignment horizontal="left" vertical="top" wrapText="1"/>
    </xf>
    <xf numFmtId="0" fontId="23" fillId="8" borderId="66" xfId="0" applyFont="1" applyFill="1" applyBorder="1" applyAlignment="1">
      <alignment horizontal="left" vertical="top" wrapText="1"/>
    </xf>
    <xf numFmtId="0" fontId="23" fillId="8" borderId="38" xfId="0" applyFont="1" applyFill="1" applyBorder="1" applyAlignment="1">
      <alignment horizontal="left" vertical="top" wrapText="1"/>
    </xf>
    <xf numFmtId="0" fontId="23" fillId="8" borderId="67" xfId="0" applyFont="1" applyFill="1" applyBorder="1" applyAlignment="1">
      <alignment horizontal="left" vertical="top" wrapText="1"/>
    </xf>
    <xf numFmtId="9" fontId="12" fillId="4" borderId="31" xfId="0" applyNumberFormat="1" applyFont="1" applyFill="1" applyBorder="1" applyAlignment="1">
      <alignment horizontal="center" vertical="center"/>
    </xf>
    <xf numFmtId="0" fontId="12" fillId="4" borderId="31" xfId="0" applyFont="1" applyFill="1" applyBorder="1" applyAlignment="1">
      <alignment horizontal="center" vertical="center"/>
    </xf>
    <xf numFmtId="0" fontId="12" fillId="4" borderId="119" xfId="0" applyFont="1" applyFill="1" applyBorder="1" applyAlignment="1">
      <alignment horizontal="center" vertical="center"/>
    </xf>
    <xf numFmtId="9" fontId="47" fillId="0" borderId="47" xfId="1" applyFont="1" applyBorder="1" applyAlignment="1">
      <alignment horizontal="center" vertical="center"/>
    </xf>
    <xf numFmtId="9" fontId="47" fillId="0" borderId="80" xfId="1" applyFont="1" applyBorder="1" applyAlignment="1">
      <alignment horizontal="center" vertical="center"/>
    </xf>
    <xf numFmtId="0" fontId="47" fillId="0" borderId="93" xfId="0" applyFont="1" applyBorder="1" applyAlignment="1">
      <alignment horizontal="center" vertical="center"/>
    </xf>
    <xf numFmtId="0" fontId="47" fillId="0" borderId="94" xfId="0" applyFont="1" applyBorder="1" applyAlignment="1">
      <alignment horizontal="center" vertical="center"/>
    </xf>
    <xf numFmtId="0" fontId="20" fillId="20" borderId="47" xfId="0" applyFont="1" applyFill="1" applyBorder="1" applyAlignment="1">
      <alignment horizontal="center"/>
    </xf>
    <xf numFmtId="0" fontId="48" fillId="8" borderId="100" xfId="0" applyFont="1" applyFill="1" applyBorder="1" applyAlignment="1">
      <alignment horizontal="center" vertical="center"/>
    </xf>
    <xf numFmtId="0" fontId="48" fillId="8" borderId="47" xfId="0" applyFont="1" applyFill="1" applyBorder="1" applyAlignment="1">
      <alignment horizontal="center" vertical="center"/>
    </xf>
    <xf numFmtId="0" fontId="48" fillId="8" borderId="121" xfId="0" applyFont="1" applyFill="1" applyBorder="1" applyAlignment="1">
      <alignment horizontal="center" vertical="center"/>
    </xf>
    <xf numFmtId="0" fontId="48" fillId="8" borderId="80" xfId="0" applyFont="1" applyFill="1" applyBorder="1" applyAlignment="1">
      <alignment horizontal="center" vertical="center"/>
    </xf>
    <xf numFmtId="0" fontId="13" fillId="0" borderId="31" xfId="2" applyFont="1" applyBorder="1" applyAlignment="1">
      <alignment horizontal="center" vertical="center" textRotation="90"/>
    </xf>
    <xf numFmtId="0" fontId="13" fillId="0" borderId="10" xfId="2" applyFont="1" applyBorder="1" applyAlignment="1">
      <alignment horizontal="center" vertical="center" textRotation="90"/>
    </xf>
    <xf numFmtId="0" fontId="20" fillId="3" borderId="29" xfId="0" applyFont="1" applyFill="1" applyBorder="1" applyAlignment="1" applyProtection="1">
      <alignment horizontal="center" vertical="center"/>
      <protection locked="0"/>
    </xf>
    <xf numFmtId="0" fontId="20" fillId="3" borderId="32" xfId="0" applyFont="1" applyFill="1" applyBorder="1" applyAlignment="1" applyProtection="1">
      <alignment horizontal="center" vertical="center"/>
      <protection locked="0"/>
    </xf>
    <xf numFmtId="0" fontId="20" fillId="3" borderId="21" xfId="0" applyFont="1" applyFill="1" applyBorder="1" applyAlignment="1" applyProtection="1">
      <alignment horizontal="center" vertical="center"/>
      <protection locked="0"/>
    </xf>
    <xf numFmtId="0" fontId="51" fillId="8" borderId="1" xfId="0" applyFont="1" applyFill="1" applyBorder="1" applyAlignment="1" applyProtection="1">
      <alignment horizontal="center" vertical="center"/>
      <protection locked="0"/>
    </xf>
    <xf numFmtId="0" fontId="13" fillId="0" borderId="12" xfId="2" applyFont="1" applyBorder="1" applyAlignment="1">
      <alignment horizontal="center" vertical="center" textRotation="90"/>
    </xf>
    <xf numFmtId="0" fontId="51" fillId="8" borderId="26" xfId="0" applyFont="1" applyFill="1" applyBorder="1" applyAlignment="1" applyProtection="1">
      <alignment horizontal="center" vertical="center"/>
      <protection locked="0"/>
    </xf>
    <xf numFmtId="0" fontId="51" fillId="8" borderId="0" xfId="0" applyFont="1" applyFill="1" applyAlignment="1" applyProtection="1">
      <alignment horizontal="center" vertical="center"/>
      <protection locked="0"/>
    </xf>
    <xf numFmtId="0" fontId="51" fillId="8" borderId="28" xfId="0" applyFont="1" applyFill="1" applyBorder="1" applyAlignment="1" applyProtection="1">
      <alignment horizontal="center" vertical="center"/>
      <protection locked="0"/>
    </xf>
    <xf numFmtId="0" fontId="51" fillId="8" borderId="14" xfId="0" applyFont="1" applyFill="1" applyBorder="1" applyAlignment="1" applyProtection="1">
      <alignment horizontal="center" vertical="center"/>
      <protection locked="0"/>
    </xf>
    <xf numFmtId="0" fontId="20" fillId="3" borderId="0" xfId="0" applyFont="1" applyFill="1" applyAlignment="1" applyProtection="1">
      <alignment horizontal="center" vertical="center"/>
      <protection locked="0"/>
    </xf>
    <xf numFmtId="0" fontId="20" fillId="3" borderId="27" xfId="0" applyFont="1" applyFill="1" applyBorder="1" applyAlignment="1" applyProtection="1">
      <alignment horizontal="center" vertical="center"/>
      <protection locked="0"/>
    </xf>
    <xf numFmtId="0" fontId="20" fillId="3" borderId="0" xfId="0" applyFont="1" applyFill="1" applyAlignment="1" applyProtection="1">
      <alignment horizontal="center" vertical="center" wrapText="1"/>
      <protection locked="0"/>
    </xf>
    <xf numFmtId="0" fontId="20" fillId="3" borderId="27" xfId="0" applyFont="1" applyFill="1" applyBorder="1" applyAlignment="1" applyProtection="1">
      <alignment horizontal="center" vertical="center" wrapText="1"/>
      <protection locked="0"/>
    </xf>
    <xf numFmtId="0" fontId="20" fillId="3" borderId="29" xfId="0" applyFont="1" applyFill="1" applyBorder="1" applyAlignment="1" applyProtection="1">
      <alignment horizontal="center" vertical="center" wrapText="1"/>
      <protection locked="0"/>
    </xf>
    <xf numFmtId="0" fontId="20" fillId="3" borderId="32" xfId="0" applyFont="1" applyFill="1" applyBorder="1" applyAlignment="1" applyProtection="1">
      <alignment horizontal="center" vertical="center" wrapText="1"/>
      <protection locked="0"/>
    </xf>
    <xf numFmtId="0" fontId="13" fillId="0" borderId="12" xfId="2" applyFont="1" applyBorder="1" applyAlignment="1">
      <alignment horizontal="center"/>
    </xf>
    <xf numFmtId="0" fontId="13" fillId="0" borderId="31" xfId="2" applyFont="1" applyBorder="1" applyAlignment="1">
      <alignment horizontal="center"/>
    </xf>
    <xf numFmtId="0" fontId="13" fillId="0" borderId="10" xfId="2" applyFont="1" applyBorder="1" applyAlignment="1">
      <alignment horizontal="center"/>
    </xf>
    <xf numFmtId="0" fontId="13" fillId="0" borderId="31" xfId="2" applyFont="1" applyBorder="1" applyAlignment="1">
      <alignment horizontal="center" vertical="center" textRotation="90" wrapText="1"/>
    </xf>
    <xf numFmtId="0" fontId="13" fillId="0" borderId="10" xfId="2" applyFont="1" applyBorder="1" applyAlignment="1">
      <alignment horizontal="center" vertical="center" textRotation="90" wrapText="1"/>
    </xf>
    <xf numFmtId="0" fontId="19" fillId="3" borderId="0" xfId="0" applyFont="1" applyFill="1" applyAlignment="1">
      <alignment horizontal="center"/>
    </xf>
    <xf numFmtId="0" fontId="13" fillId="0" borderId="12" xfId="2" applyFont="1" applyBorder="1" applyAlignment="1">
      <alignment horizontal="center" textRotation="90"/>
    </xf>
    <xf numFmtId="0" fontId="13" fillId="0" borderId="31" xfId="2" applyFont="1" applyBorder="1" applyAlignment="1">
      <alignment horizontal="center" textRotation="90"/>
    </xf>
    <xf numFmtId="0" fontId="13" fillId="0" borderId="10" xfId="2" applyFont="1" applyBorder="1" applyAlignment="1">
      <alignment horizontal="center" textRotation="90"/>
    </xf>
    <xf numFmtId="0" fontId="13" fillId="0" borderId="47" xfId="2" applyFont="1" applyBorder="1" applyAlignment="1">
      <alignment horizontal="center" vertical="center" textRotation="90" wrapText="1"/>
    </xf>
    <xf numFmtId="0" fontId="13" fillId="0" borderId="47" xfId="2" applyFont="1" applyBorder="1" applyAlignment="1">
      <alignment horizontal="center" vertical="center" textRotation="90"/>
    </xf>
    <xf numFmtId="0" fontId="19" fillId="8" borderId="0" xfId="0" applyFont="1" applyFill="1" applyAlignment="1">
      <alignment horizontal="center"/>
    </xf>
    <xf numFmtId="0" fontId="19" fillId="3" borderId="50" xfId="0" applyFont="1" applyFill="1" applyBorder="1" applyAlignment="1">
      <alignment horizontal="center"/>
    </xf>
    <xf numFmtId="0" fontId="19" fillId="3" borderId="51" xfId="0" applyFont="1" applyFill="1" applyBorder="1" applyAlignment="1">
      <alignment horizontal="center"/>
    </xf>
    <xf numFmtId="0" fontId="19" fillId="3" borderId="74" xfId="0" applyFont="1" applyFill="1" applyBorder="1" applyAlignment="1">
      <alignment horizontal="center" vertical="center" wrapText="1"/>
    </xf>
    <xf numFmtId="0" fontId="19" fillId="3" borderId="83" xfId="0" applyFont="1" applyFill="1" applyBorder="1" applyAlignment="1">
      <alignment horizontal="center" vertical="center" wrapText="1"/>
    </xf>
    <xf numFmtId="0" fontId="19" fillId="3" borderId="25" xfId="0" applyFont="1" applyFill="1" applyBorder="1" applyAlignment="1">
      <alignment horizontal="center"/>
    </xf>
    <xf numFmtId="0" fontId="19" fillId="3" borderId="49" xfId="0" applyFont="1" applyFill="1" applyBorder="1" applyAlignment="1">
      <alignment horizontal="center"/>
    </xf>
    <xf numFmtId="0" fontId="19" fillId="3" borderId="81" xfId="0" applyFont="1" applyFill="1" applyBorder="1" applyAlignment="1">
      <alignment horizontal="center"/>
    </xf>
    <xf numFmtId="0" fontId="19" fillId="3" borderId="50" xfId="0" applyFont="1" applyFill="1" applyBorder="1" applyAlignment="1">
      <alignment horizontal="center" vertical="center" wrapText="1"/>
    </xf>
    <xf numFmtId="0" fontId="19" fillId="3" borderId="81" xfId="0" applyFont="1" applyFill="1" applyBorder="1" applyAlignment="1">
      <alignment horizontal="center" vertical="center" wrapText="1"/>
    </xf>
    <xf numFmtId="0" fontId="19" fillId="3" borderId="51" xfId="0" applyFont="1" applyFill="1" applyBorder="1" applyAlignment="1">
      <alignment horizontal="center" vertical="center" wrapText="1"/>
    </xf>
    <xf numFmtId="0" fontId="19" fillId="8" borderId="4" xfId="0" applyFont="1" applyFill="1" applyBorder="1" applyAlignment="1">
      <alignment horizontal="center"/>
    </xf>
    <xf numFmtId="0" fontId="19" fillId="8" borderId="5" xfId="0" applyFont="1" applyFill="1" applyBorder="1" applyAlignment="1">
      <alignment horizontal="center"/>
    </xf>
    <xf numFmtId="0" fontId="19" fillId="8" borderId="6" xfId="0" applyFont="1" applyFill="1" applyBorder="1" applyAlignment="1">
      <alignment horizontal="center"/>
    </xf>
    <xf numFmtId="0" fontId="19" fillId="3" borderId="13" xfId="0" applyFont="1" applyFill="1" applyBorder="1" applyAlignment="1">
      <alignment horizontal="center"/>
    </xf>
    <xf numFmtId="0" fontId="19" fillId="3" borderId="64" xfId="0" applyFont="1" applyFill="1" applyBorder="1" applyAlignment="1">
      <alignment horizontal="center"/>
    </xf>
    <xf numFmtId="0" fontId="19" fillId="3" borderId="53" xfId="0" applyFont="1" applyFill="1" applyBorder="1" applyAlignment="1">
      <alignment horizontal="center"/>
    </xf>
    <xf numFmtId="0" fontId="19" fillId="3" borderId="65" xfId="0" applyFont="1" applyFill="1" applyBorder="1" applyAlignment="1">
      <alignment horizontal="center"/>
    </xf>
    <xf numFmtId="0" fontId="19" fillId="3" borderId="13" xfId="0" applyFont="1" applyFill="1" applyBorder="1" applyAlignment="1" applyProtection="1">
      <alignment horizontal="center"/>
      <protection locked="0"/>
    </xf>
    <xf numFmtId="0" fontId="19" fillId="3" borderId="0" xfId="0" applyFont="1" applyFill="1" applyAlignment="1" applyProtection="1">
      <alignment horizontal="center"/>
      <protection locked="0"/>
    </xf>
    <xf numFmtId="0" fontId="3" fillId="0" borderId="64" xfId="0" applyFont="1" applyBorder="1" applyAlignment="1">
      <alignment horizontal="center"/>
    </xf>
    <xf numFmtId="0" fontId="0" fillId="0" borderId="53" xfId="0" applyBorder="1" applyAlignment="1">
      <alignment horizontal="center"/>
    </xf>
    <xf numFmtId="0" fontId="0" fillId="0" borderId="65" xfId="0" applyBorder="1" applyAlignment="1">
      <alignment horizontal="center"/>
    </xf>
  </cellXfs>
  <cellStyles count="6">
    <cellStyle name="Accent6" xfId="5" builtinId="49" customBuiltin="1"/>
    <cellStyle name="Hyperlink" xfId="2" builtinId="8"/>
    <cellStyle name="Normal" xfId="0" builtinId="0"/>
    <cellStyle name="Normal 2" xfId="3" xr:uid="{A24195DD-7D42-4024-B847-3F59EB9ED12F}"/>
    <cellStyle name="Percent" xfId="1" builtinId="5"/>
    <cellStyle name="Percent 2" xfId="4" xr:uid="{F3C3C822-A3E7-4A13-8EA2-CF13DD60B24A}"/>
  </cellStyles>
  <dxfs count="0"/>
  <tableStyles count="0" defaultTableStyle="TableStyleMedium2" defaultPivotStyle="PivotStyleLight16"/>
  <colors>
    <mruColors>
      <color rgb="FF114E4F"/>
      <color rgb="FF820000"/>
      <color rgb="FF003262"/>
      <color rgb="FFFDB51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chartUserShapes" Target="../drawings/drawing13.xml"/><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3" Type="http://schemas.openxmlformats.org/officeDocument/2006/relationships/chartUserShapes" Target="../drawings/drawing14.xml"/><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3" Type="http://schemas.openxmlformats.org/officeDocument/2006/relationships/chartUserShapes" Target="../drawings/drawing15.xml"/><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3" Type="http://schemas.openxmlformats.org/officeDocument/2006/relationships/chartUserShapes" Target="../drawings/drawing16.xml"/><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3" Type="http://schemas.openxmlformats.org/officeDocument/2006/relationships/chartUserShapes" Target="../drawings/drawing17.xml"/><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chartUserShapes" Target="../drawings/drawing18.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chartUserShapes" Target="../drawings/drawing19.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3" Type="http://schemas.openxmlformats.org/officeDocument/2006/relationships/chartUserShapes" Target="../drawings/drawing20.xml"/><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3" Type="http://schemas.openxmlformats.org/officeDocument/2006/relationships/chartUserShapes" Target="../drawings/drawing21.xml"/><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3" Type="http://schemas.openxmlformats.org/officeDocument/2006/relationships/chartUserShapes" Target="../drawings/drawing22.xml"/><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3" Type="http://schemas.openxmlformats.org/officeDocument/2006/relationships/chartUserShapes" Target="../drawings/drawing23.xml"/><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3" Type="http://schemas.openxmlformats.org/officeDocument/2006/relationships/chartUserShapes" Target="../drawings/drawing24.xml"/><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3" Type="http://schemas.openxmlformats.org/officeDocument/2006/relationships/chartUserShapes" Target="../drawings/drawing25.xml"/><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3" Type="http://schemas.openxmlformats.org/officeDocument/2006/relationships/chartUserShapes" Target="../drawings/drawing26.xml"/><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3" Type="http://schemas.openxmlformats.org/officeDocument/2006/relationships/chartUserShapes" Target="../drawings/drawing27.xml"/><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3" Type="http://schemas.openxmlformats.org/officeDocument/2006/relationships/chartUserShapes" Target="../drawings/drawing29.xml"/><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3" Type="http://schemas.openxmlformats.org/officeDocument/2006/relationships/chartUserShapes" Target="../drawings/drawing30.xml"/><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3" Type="http://schemas.openxmlformats.org/officeDocument/2006/relationships/chartUserShapes" Target="../drawings/drawing31.xml"/><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3" Type="http://schemas.openxmlformats.org/officeDocument/2006/relationships/chartUserShapes" Target="../drawings/drawing32.xml"/><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3" Type="http://schemas.openxmlformats.org/officeDocument/2006/relationships/chartUserShapes" Target="../drawings/drawing33.xml"/><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3" Type="http://schemas.openxmlformats.org/officeDocument/2006/relationships/chartUserShapes" Target="../drawings/drawing34.xml"/><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3" Type="http://schemas.openxmlformats.org/officeDocument/2006/relationships/chartUserShapes" Target="../drawings/drawing35.xml"/><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3" Type="http://schemas.openxmlformats.org/officeDocument/2006/relationships/chartUserShapes" Target="../drawings/drawing36.xml"/><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3" Type="http://schemas.openxmlformats.org/officeDocument/2006/relationships/chartUserShapes" Target="../drawings/drawing37.xml"/><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3" Type="http://schemas.openxmlformats.org/officeDocument/2006/relationships/chartUserShapes" Target="../drawings/drawing38.xml"/><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3" Type="http://schemas.openxmlformats.org/officeDocument/2006/relationships/chartUserShapes" Target="../drawings/drawing39.xml"/><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3" Type="http://schemas.openxmlformats.org/officeDocument/2006/relationships/chartUserShapes" Target="../drawings/drawing40.xml"/><Relationship Id="rId2" Type="http://schemas.microsoft.com/office/2011/relationships/chartColorStyle" Target="colors36.xml"/><Relationship Id="rId1" Type="http://schemas.microsoft.com/office/2011/relationships/chartStyle" Target="style36.xml"/></Relationships>
</file>

<file path=xl/charts/_rels/chart37.xml.rels><?xml version="1.0" encoding="UTF-8" standalone="yes"?>
<Relationships xmlns="http://schemas.openxmlformats.org/package/2006/relationships"><Relationship Id="rId3" Type="http://schemas.openxmlformats.org/officeDocument/2006/relationships/chartUserShapes" Target="../drawings/drawing41.xml"/><Relationship Id="rId2" Type="http://schemas.microsoft.com/office/2011/relationships/chartColorStyle" Target="colors37.xml"/><Relationship Id="rId1" Type="http://schemas.microsoft.com/office/2011/relationships/chartStyle" Target="style37.xml"/></Relationships>
</file>

<file path=xl/charts/_rels/chart38.xml.rels><?xml version="1.0" encoding="UTF-8" standalone="yes"?>
<Relationships xmlns="http://schemas.openxmlformats.org/package/2006/relationships"><Relationship Id="rId3" Type="http://schemas.openxmlformats.org/officeDocument/2006/relationships/chartUserShapes" Target="../drawings/drawing42.xml"/><Relationship Id="rId2" Type="http://schemas.microsoft.com/office/2011/relationships/chartColorStyle" Target="colors38.xml"/><Relationship Id="rId1" Type="http://schemas.microsoft.com/office/2011/relationships/chartStyle" Target="style38.xml"/></Relationships>
</file>

<file path=xl/charts/_rels/chart39.xml.rels><?xml version="1.0" encoding="UTF-8" standalone="yes"?>
<Relationships xmlns="http://schemas.openxmlformats.org/package/2006/relationships"><Relationship Id="rId3" Type="http://schemas.openxmlformats.org/officeDocument/2006/relationships/chartUserShapes" Target="../drawings/drawing43.xml"/><Relationship Id="rId2" Type="http://schemas.microsoft.com/office/2011/relationships/chartColorStyle" Target="colors39.xml"/><Relationship Id="rId1" Type="http://schemas.microsoft.com/office/2011/relationships/chartStyle" Target="style39.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3" Type="http://schemas.openxmlformats.org/officeDocument/2006/relationships/chartUserShapes" Target="../drawings/drawing44.xml"/><Relationship Id="rId2" Type="http://schemas.microsoft.com/office/2011/relationships/chartColorStyle" Target="colors40.xml"/><Relationship Id="rId1" Type="http://schemas.microsoft.com/office/2011/relationships/chartStyle" Target="style40.xml"/></Relationships>
</file>

<file path=xl/charts/_rels/chart41.xml.rels><?xml version="1.0" encoding="UTF-8" standalone="yes"?>
<Relationships xmlns="http://schemas.openxmlformats.org/package/2006/relationships"><Relationship Id="rId3" Type="http://schemas.openxmlformats.org/officeDocument/2006/relationships/chartUserShapes" Target="../drawings/drawing45.xml"/><Relationship Id="rId2" Type="http://schemas.microsoft.com/office/2011/relationships/chartColorStyle" Target="colors41.xml"/><Relationship Id="rId1" Type="http://schemas.microsoft.com/office/2011/relationships/chartStyle" Target="style41.xml"/></Relationships>
</file>

<file path=xl/charts/_rels/chart42.xml.rels><?xml version="1.0" encoding="UTF-8" standalone="yes"?>
<Relationships xmlns="http://schemas.openxmlformats.org/package/2006/relationships"><Relationship Id="rId3" Type="http://schemas.openxmlformats.org/officeDocument/2006/relationships/chartUserShapes" Target="../drawings/drawing46.xml"/><Relationship Id="rId2" Type="http://schemas.microsoft.com/office/2011/relationships/chartColorStyle" Target="colors42.xml"/><Relationship Id="rId1" Type="http://schemas.microsoft.com/office/2011/relationships/chartStyle" Target="style42.xml"/></Relationships>
</file>

<file path=xl/charts/_rels/chart43.xml.rels><?xml version="1.0" encoding="UTF-8" standalone="yes"?>
<Relationships xmlns="http://schemas.openxmlformats.org/package/2006/relationships"><Relationship Id="rId3" Type="http://schemas.openxmlformats.org/officeDocument/2006/relationships/chartUserShapes" Target="../drawings/drawing47.xml"/><Relationship Id="rId2" Type="http://schemas.microsoft.com/office/2011/relationships/chartColorStyle" Target="colors43.xml"/><Relationship Id="rId1" Type="http://schemas.microsoft.com/office/2011/relationships/chartStyle" Target="style43.xml"/></Relationships>
</file>

<file path=xl/charts/_rels/chart44.xml.rels><?xml version="1.0" encoding="UTF-8" standalone="yes"?>
<Relationships xmlns="http://schemas.openxmlformats.org/package/2006/relationships"><Relationship Id="rId3" Type="http://schemas.openxmlformats.org/officeDocument/2006/relationships/chartUserShapes" Target="../drawings/drawing48.xml"/><Relationship Id="rId2" Type="http://schemas.microsoft.com/office/2011/relationships/chartColorStyle" Target="colors44.xml"/><Relationship Id="rId1" Type="http://schemas.microsoft.com/office/2011/relationships/chartStyle" Target="style44.xml"/></Relationships>
</file>

<file path=xl/charts/_rels/chart45.xml.rels><?xml version="1.0" encoding="UTF-8" standalone="yes"?>
<Relationships xmlns="http://schemas.openxmlformats.org/package/2006/relationships"><Relationship Id="rId3" Type="http://schemas.openxmlformats.org/officeDocument/2006/relationships/chartUserShapes" Target="../drawings/drawing49.xml"/><Relationship Id="rId2" Type="http://schemas.microsoft.com/office/2011/relationships/chartColorStyle" Target="colors45.xml"/><Relationship Id="rId1" Type="http://schemas.microsoft.com/office/2011/relationships/chartStyle" Target="style45.xml"/></Relationships>
</file>

<file path=xl/charts/_rels/chart46.xml.rels><?xml version="1.0" encoding="UTF-8" standalone="yes"?>
<Relationships xmlns="http://schemas.openxmlformats.org/package/2006/relationships"><Relationship Id="rId3" Type="http://schemas.openxmlformats.org/officeDocument/2006/relationships/chartUserShapes" Target="../drawings/drawing50.xml"/><Relationship Id="rId2" Type="http://schemas.microsoft.com/office/2011/relationships/chartColorStyle" Target="colors46.xml"/><Relationship Id="rId1" Type="http://schemas.microsoft.com/office/2011/relationships/chartStyle" Target="style46.xml"/></Relationships>
</file>

<file path=xl/charts/_rels/chart47.xml.rels><?xml version="1.0" encoding="UTF-8" standalone="yes"?>
<Relationships xmlns="http://schemas.openxmlformats.org/package/2006/relationships"><Relationship Id="rId3" Type="http://schemas.openxmlformats.org/officeDocument/2006/relationships/chartUserShapes" Target="../drawings/drawing51.xml"/><Relationship Id="rId2" Type="http://schemas.microsoft.com/office/2011/relationships/chartColorStyle" Target="colors47.xml"/><Relationship Id="rId1" Type="http://schemas.microsoft.com/office/2011/relationships/chartStyle" Target="style47.xml"/></Relationships>
</file>

<file path=xl/charts/_rels/chart48.xml.rels><?xml version="1.0" encoding="UTF-8" standalone="yes"?>
<Relationships xmlns="http://schemas.openxmlformats.org/package/2006/relationships"><Relationship Id="rId3" Type="http://schemas.openxmlformats.org/officeDocument/2006/relationships/chartUserShapes" Target="../drawings/drawing52.xml"/><Relationship Id="rId2" Type="http://schemas.microsoft.com/office/2011/relationships/chartColorStyle" Target="colors48.xml"/><Relationship Id="rId1" Type="http://schemas.microsoft.com/office/2011/relationships/chartStyle" Target="style48.xml"/></Relationships>
</file>

<file path=xl/charts/_rels/chart49.xml.rels><?xml version="1.0" encoding="UTF-8" standalone="yes"?>
<Relationships xmlns="http://schemas.openxmlformats.org/package/2006/relationships"><Relationship Id="rId3" Type="http://schemas.openxmlformats.org/officeDocument/2006/relationships/chartUserShapes" Target="../drawings/drawing53.xml"/><Relationship Id="rId2" Type="http://schemas.microsoft.com/office/2011/relationships/chartColorStyle" Target="colors49.xml"/><Relationship Id="rId1" Type="http://schemas.microsoft.com/office/2011/relationships/chartStyle" Target="style49.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5.xml"/><Relationship Id="rId1" Type="http://schemas.microsoft.com/office/2011/relationships/chartStyle" Target="style5.xml"/></Relationships>
</file>

<file path=xl/charts/_rels/chart50.xml.rels><?xml version="1.0" encoding="UTF-8" standalone="yes"?>
<Relationships xmlns="http://schemas.openxmlformats.org/package/2006/relationships"><Relationship Id="rId3" Type="http://schemas.openxmlformats.org/officeDocument/2006/relationships/chartUserShapes" Target="../drawings/drawing54.xml"/><Relationship Id="rId2" Type="http://schemas.microsoft.com/office/2011/relationships/chartColorStyle" Target="colors50.xml"/><Relationship Id="rId1" Type="http://schemas.microsoft.com/office/2011/relationships/chartStyle" Target="style50.xml"/></Relationships>
</file>

<file path=xl/charts/_rels/chart51.xml.rels><?xml version="1.0" encoding="UTF-8" standalone="yes"?>
<Relationships xmlns="http://schemas.openxmlformats.org/package/2006/relationships"><Relationship Id="rId3" Type="http://schemas.openxmlformats.org/officeDocument/2006/relationships/chartUserShapes" Target="../drawings/drawing55.xml"/><Relationship Id="rId2" Type="http://schemas.microsoft.com/office/2011/relationships/chartColorStyle" Target="colors51.xml"/><Relationship Id="rId1" Type="http://schemas.microsoft.com/office/2011/relationships/chartStyle" Target="style51.xml"/></Relationships>
</file>

<file path=xl/charts/_rels/chart52.xml.rels><?xml version="1.0" encoding="UTF-8" standalone="yes"?>
<Relationships xmlns="http://schemas.openxmlformats.org/package/2006/relationships"><Relationship Id="rId3" Type="http://schemas.openxmlformats.org/officeDocument/2006/relationships/chartUserShapes" Target="../drawings/drawing56.xml"/><Relationship Id="rId2" Type="http://schemas.microsoft.com/office/2011/relationships/chartColorStyle" Target="colors52.xml"/><Relationship Id="rId1" Type="http://schemas.microsoft.com/office/2011/relationships/chartStyle" Target="style52.xml"/></Relationships>
</file>

<file path=xl/charts/_rels/chart53.xml.rels><?xml version="1.0" encoding="UTF-8" standalone="yes"?>
<Relationships xmlns="http://schemas.openxmlformats.org/package/2006/relationships"><Relationship Id="rId3" Type="http://schemas.openxmlformats.org/officeDocument/2006/relationships/chartUserShapes" Target="../drawings/drawing57.xml"/><Relationship Id="rId2" Type="http://schemas.microsoft.com/office/2011/relationships/chartColorStyle" Target="colors53.xml"/><Relationship Id="rId1" Type="http://schemas.microsoft.com/office/2011/relationships/chartStyle" Target="style53.xml"/></Relationships>
</file>

<file path=xl/charts/_rels/chart54.xml.rels><?xml version="1.0" encoding="UTF-8" standalone="yes"?>
<Relationships xmlns="http://schemas.openxmlformats.org/package/2006/relationships"><Relationship Id="rId3" Type="http://schemas.openxmlformats.org/officeDocument/2006/relationships/chartUserShapes" Target="../drawings/drawing58.xml"/><Relationship Id="rId2" Type="http://schemas.microsoft.com/office/2011/relationships/chartColorStyle" Target="colors54.xml"/><Relationship Id="rId1" Type="http://schemas.microsoft.com/office/2011/relationships/chartStyle" Target="style54.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11.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12.xml"/><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4-02B3-4AEF-BB8C-65EB743F9B43}"/>
              </c:ext>
            </c:extLst>
          </c:dPt>
          <c:dPt>
            <c:idx val="1"/>
            <c:bubble3D val="0"/>
            <c:spPr>
              <a:solidFill>
                <a:srgbClr val="FF0000"/>
              </a:solidFill>
              <a:ln w="19050">
                <a:noFill/>
              </a:ln>
              <a:effectLst/>
            </c:spPr>
            <c:extLst>
              <c:ext xmlns:c16="http://schemas.microsoft.com/office/drawing/2014/chart" uri="{C3380CC4-5D6E-409C-BE32-E72D297353CC}">
                <c16:uniqueId val="{00000003-02B3-4AEF-BB8C-65EB743F9B43}"/>
              </c:ext>
            </c:extLst>
          </c:dPt>
          <c:dPt>
            <c:idx val="2"/>
            <c:bubble3D val="0"/>
            <c:spPr>
              <a:solidFill>
                <a:srgbClr val="FF0000"/>
              </a:solidFill>
              <a:ln w="19050">
                <a:noFill/>
              </a:ln>
              <a:effectLst/>
            </c:spPr>
            <c:extLst>
              <c:ext xmlns:c16="http://schemas.microsoft.com/office/drawing/2014/chart" uri="{C3380CC4-5D6E-409C-BE32-E72D297353CC}">
                <c16:uniqueId val="{00000002-02B3-4AEF-BB8C-65EB743F9B43}"/>
              </c:ext>
            </c:extLst>
          </c:dPt>
          <c:dPt>
            <c:idx val="3"/>
            <c:bubble3D val="0"/>
            <c:spPr>
              <a:solidFill>
                <a:srgbClr val="FF0000"/>
              </a:solidFill>
              <a:ln w="19050">
                <a:noFill/>
              </a:ln>
              <a:effectLst/>
            </c:spPr>
            <c:extLst>
              <c:ext xmlns:c16="http://schemas.microsoft.com/office/drawing/2014/chart" uri="{C3380CC4-5D6E-409C-BE32-E72D297353CC}">
                <c16:uniqueId val="{00000005-02B3-4AEF-BB8C-65EB743F9B43}"/>
              </c:ext>
            </c:extLst>
          </c:dPt>
          <c:dPt>
            <c:idx val="4"/>
            <c:bubble3D val="0"/>
            <c:spPr>
              <a:solidFill>
                <a:srgbClr val="FF0000"/>
              </a:solidFill>
              <a:ln w="19050">
                <a:noFill/>
              </a:ln>
              <a:effectLst/>
            </c:spPr>
            <c:extLst>
              <c:ext xmlns:c16="http://schemas.microsoft.com/office/drawing/2014/chart" uri="{C3380CC4-5D6E-409C-BE32-E72D297353CC}">
                <c16:uniqueId val="{0000000A-02B3-4AEF-BB8C-65EB743F9B43}"/>
              </c:ext>
            </c:extLst>
          </c:dPt>
          <c:dPt>
            <c:idx val="5"/>
            <c:bubble3D val="0"/>
            <c:spPr>
              <a:solidFill>
                <a:srgbClr val="FFC000"/>
              </a:solidFill>
              <a:ln w="19050">
                <a:noFill/>
              </a:ln>
              <a:effectLst/>
            </c:spPr>
            <c:extLst>
              <c:ext xmlns:c16="http://schemas.microsoft.com/office/drawing/2014/chart" uri="{C3380CC4-5D6E-409C-BE32-E72D297353CC}">
                <c16:uniqueId val="{0000000B-02B3-4AEF-BB8C-65EB743F9B43}"/>
              </c:ext>
            </c:extLst>
          </c:dPt>
          <c:dPt>
            <c:idx val="6"/>
            <c:bubble3D val="0"/>
            <c:spPr>
              <a:solidFill>
                <a:srgbClr val="00B050"/>
              </a:solidFill>
              <a:ln w="19050">
                <a:noFill/>
              </a:ln>
              <a:effectLst/>
            </c:spPr>
            <c:extLst>
              <c:ext xmlns:c16="http://schemas.microsoft.com/office/drawing/2014/chart" uri="{C3380CC4-5D6E-409C-BE32-E72D297353CC}">
                <c16:uniqueId val="{0000000C-02B3-4AEF-BB8C-65EB743F9B43}"/>
              </c:ext>
            </c:extLst>
          </c:dPt>
          <c:dPt>
            <c:idx val="7"/>
            <c:bubble3D val="0"/>
            <c:spPr>
              <a:noFill/>
              <a:ln w="19050">
                <a:noFill/>
              </a:ln>
              <a:effectLst/>
            </c:spPr>
            <c:extLst>
              <c:ext xmlns:c16="http://schemas.microsoft.com/office/drawing/2014/chart" uri="{C3380CC4-5D6E-409C-BE32-E72D297353CC}">
                <c16:uniqueId val="{0000000D-02B3-4AEF-BB8C-65EB743F9B43}"/>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00-02B3-4AEF-BB8C-65EB743F9B43}"/>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09-02B3-4AEF-BB8C-65EB743F9B43}"/>
              </c:ext>
            </c:extLst>
          </c:dPt>
          <c:dPt>
            <c:idx val="1"/>
            <c:bubble3D val="0"/>
            <c:spPr>
              <a:solidFill>
                <a:schemeClr val="tx1"/>
              </a:solidFill>
              <a:ln w="19050">
                <a:noFill/>
              </a:ln>
              <a:effectLst/>
            </c:spPr>
            <c:extLst>
              <c:ext xmlns:c16="http://schemas.microsoft.com/office/drawing/2014/chart" uri="{C3380CC4-5D6E-409C-BE32-E72D297353CC}">
                <c16:uniqueId val="{00000008-02B3-4AEF-BB8C-65EB743F9B43}"/>
              </c:ext>
            </c:extLst>
          </c:dPt>
          <c:dPt>
            <c:idx val="2"/>
            <c:bubble3D val="0"/>
            <c:spPr>
              <a:noFill/>
              <a:ln w="19050">
                <a:noFill/>
              </a:ln>
              <a:effectLst/>
            </c:spPr>
            <c:extLst>
              <c:ext xmlns:c16="http://schemas.microsoft.com/office/drawing/2014/chart" uri="{C3380CC4-5D6E-409C-BE32-E72D297353CC}">
                <c16:uniqueId val="{00000007-02B3-4AEF-BB8C-65EB743F9B43}"/>
              </c:ext>
            </c:extLst>
          </c:dPt>
          <c:val>
            <c:numRef>
              <c:f>Reference!$B$9:$D$9</c:f>
              <c:numCache>
                <c:formatCode>General</c:formatCode>
                <c:ptCount val="3"/>
                <c:pt idx="0" formatCode="0%">
                  <c:v>1</c:v>
                </c:pt>
                <c:pt idx="1">
                  <c:v>0.03</c:v>
                </c:pt>
                <c:pt idx="2">
                  <c:v>0.97</c:v>
                </c:pt>
              </c:numCache>
            </c:numRef>
          </c:val>
          <c:extLst>
            <c:ext xmlns:c16="http://schemas.microsoft.com/office/drawing/2014/chart" uri="{C3380CC4-5D6E-409C-BE32-E72D297353CC}">
              <c16:uniqueId val="{00000006-02B3-4AEF-BB8C-65EB743F9B43}"/>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3A52-409E-8A42-D0D7B65658FB}"/>
              </c:ext>
            </c:extLst>
          </c:dPt>
          <c:dPt>
            <c:idx val="1"/>
            <c:bubble3D val="0"/>
            <c:spPr>
              <a:solidFill>
                <a:srgbClr val="FF0000"/>
              </a:solidFill>
              <a:ln w="19050">
                <a:noFill/>
              </a:ln>
              <a:effectLst/>
            </c:spPr>
            <c:extLst>
              <c:ext xmlns:c16="http://schemas.microsoft.com/office/drawing/2014/chart" uri="{C3380CC4-5D6E-409C-BE32-E72D297353CC}">
                <c16:uniqueId val="{00000003-3A52-409E-8A42-D0D7B65658FB}"/>
              </c:ext>
            </c:extLst>
          </c:dPt>
          <c:dPt>
            <c:idx val="2"/>
            <c:bubble3D val="0"/>
            <c:spPr>
              <a:solidFill>
                <a:srgbClr val="FF0000"/>
              </a:solidFill>
              <a:ln w="19050">
                <a:noFill/>
              </a:ln>
              <a:effectLst/>
            </c:spPr>
            <c:extLst>
              <c:ext xmlns:c16="http://schemas.microsoft.com/office/drawing/2014/chart" uri="{C3380CC4-5D6E-409C-BE32-E72D297353CC}">
                <c16:uniqueId val="{00000005-3A52-409E-8A42-D0D7B65658FB}"/>
              </c:ext>
            </c:extLst>
          </c:dPt>
          <c:dPt>
            <c:idx val="3"/>
            <c:bubble3D val="0"/>
            <c:spPr>
              <a:solidFill>
                <a:srgbClr val="FF0000"/>
              </a:solidFill>
              <a:ln w="19050">
                <a:noFill/>
              </a:ln>
              <a:effectLst/>
            </c:spPr>
            <c:extLst>
              <c:ext xmlns:c16="http://schemas.microsoft.com/office/drawing/2014/chart" uri="{C3380CC4-5D6E-409C-BE32-E72D297353CC}">
                <c16:uniqueId val="{00000007-3A52-409E-8A42-D0D7B65658FB}"/>
              </c:ext>
            </c:extLst>
          </c:dPt>
          <c:dPt>
            <c:idx val="4"/>
            <c:bubble3D val="0"/>
            <c:spPr>
              <a:solidFill>
                <a:srgbClr val="FF0000"/>
              </a:solidFill>
              <a:ln w="19050">
                <a:noFill/>
              </a:ln>
              <a:effectLst/>
            </c:spPr>
            <c:extLst>
              <c:ext xmlns:c16="http://schemas.microsoft.com/office/drawing/2014/chart" uri="{C3380CC4-5D6E-409C-BE32-E72D297353CC}">
                <c16:uniqueId val="{00000009-3A52-409E-8A42-D0D7B65658FB}"/>
              </c:ext>
            </c:extLst>
          </c:dPt>
          <c:dPt>
            <c:idx val="5"/>
            <c:bubble3D val="0"/>
            <c:spPr>
              <a:solidFill>
                <a:srgbClr val="FFC000"/>
              </a:solidFill>
              <a:ln w="19050">
                <a:noFill/>
              </a:ln>
              <a:effectLst/>
            </c:spPr>
            <c:extLst>
              <c:ext xmlns:c16="http://schemas.microsoft.com/office/drawing/2014/chart" uri="{C3380CC4-5D6E-409C-BE32-E72D297353CC}">
                <c16:uniqueId val="{0000000B-3A52-409E-8A42-D0D7B65658FB}"/>
              </c:ext>
            </c:extLst>
          </c:dPt>
          <c:dPt>
            <c:idx val="6"/>
            <c:bubble3D val="0"/>
            <c:spPr>
              <a:solidFill>
                <a:srgbClr val="00B050"/>
              </a:solidFill>
              <a:ln w="19050">
                <a:noFill/>
              </a:ln>
              <a:effectLst/>
            </c:spPr>
            <c:extLst>
              <c:ext xmlns:c16="http://schemas.microsoft.com/office/drawing/2014/chart" uri="{C3380CC4-5D6E-409C-BE32-E72D297353CC}">
                <c16:uniqueId val="{0000000D-3A52-409E-8A42-D0D7B65658FB}"/>
              </c:ext>
            </c:extLst>
          </c:dPt>
          <c:dPt>
            <c:idx val="7"/>
            <c:bubble3D val="0"/>
            <c:spPr>
              <a:noFill/>
              <a:ln w="19050">
                <a:noFill/>
              </a:ln>
              <a:effectLst/>
            </c:spPr>
            <c:extLst>
              <c:ext xmlns:c16="http://schemas.microsoft.com/office/drawing/2014/chart" uri="{C3380CC4-5D6E-409C-BE32-E72D297353CC}">
                <c16:uniqueId val="{0000000F-3A52-409E-8A42-D0D7B65658FB}"/>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3A52-409E-8A42-D0D7B65658FB}"/>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3A52-409E-8A42-D0D7B65658FB}"/>
              </c:ext>
            </c:extLst>
          </c:dPt>
          <c:dPt>
            <c:idx val="1"/>
            <c:bubble3D val="0"/>
            <c:spPr>
              <a:solidFill>
                <a:schemeClr val="tx1"/>
              </a:solidFill>
              <a:ln w="19050">
                <a:noFill/>
              </a:ln>
              <a:effectLst/>
            </c:spPr>
            <c:extLst>
              <c:ext xmlns:c16="http://schemas.microsoft.com/office/drawing/2014/chart" uri="{C3380CC4-5D6E-409C-BE32-E72D297353CC}">
                <c16:uniqueId val="{00000014-3A52-409E-8A42-D0D7B65658FB}"/>
              </c:ext>
            </c:extLst>
          </c:dPt>
          <c:dPt>
            <c:idx val="2"/>
            <c:bubble3D val="0"/>
            <c:spPr>
              <a:noFill/>
              <a:ln w="19050">
                <a:noFill/>
              </a:ln>
              <a:effectLst/>
            </c:spPr>
            <c:extLst>
              <c:ext xmlns:c16="http://schemas.microsoft.com/office/drawing/2014/chart" uri="{C3380CC4-5D6E-409C-BE32-E72D297353CC}">
                <c16:uniqueId val="{00000016-3A52-409E-8A42-D0D7B65658FB}"/>
              </c:ext>
            </c:extLst>
          </c:dPt>
          <c:val>
            <c:numRef>
              <c:f>Reference!$J$38:$L$38</c:f>
              <c:numCache>
                <c:formatCode>General</c:formatCode>
                <c:ptCount val="3"/>
                <c:pt idx="0" formatCode="0%">
                  <c:v>0.218</c:v>
                </c:pt>
                <c:pt idx="1">
                  <c:v>7.0000000000000001E-3</c:v>
                </c:pt>
                <c:pt idx="2" formatCode="0.00">
                  <c:v>0.22500000000000001</c:v>
                </c:pt>
              </c:numCache>
            </c:numRef>
          </c:val>
          <c:extLst>
            <c:ext xmlns:c16="http://schemas.microsoft.com/office/drawing/2014/chart" uri="{C3380CC4-5D6E-409C-BE32-E72D297353CC}">
              <c16:uniqueId val="{00000017-3A52-409E-8A42-D0D7B65658FB}"/>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0C3E-4002-905B-F547D29A6FE5}"/>
              </c:ext>
            </c:extLst>
          </c:dPt>
          <c:dPt>
            <c:idx val="1"/>
            <c:bubble3D val="0"/>
            <c:spPr>
              <a:solidFill>
                <a:srgbClr val="FF0000"/>
              </a:solidFill>
              <a:ln w="19050">
                <a:noFill/>
              </a:ln>
              <a:effectLst/>
            </c:spPr>
            <c:extLst>
              <c:ext xmlns:c16="http://schemas.microsoft.com/office/drawing/2014/chart" uri="{C3380CC4-5D6E-409C-BE32-E72D297353CC}">
                <c16:uniqueId val="{00000003-0C3E-4002-905B-F547D29A6FE5}"/>
              </c:ext>
            </c:extLst>
          </c:dPt>
          <c:dPt>
            <c:idx val="2"/>
            <c:bubble3D val="0"/>
            <c:spPr>
              <a:solidFill>
                <a:srgbClr val="FF0000"/>
              </a:solidFill>
              <a:ln w="19050">
                <a:noFill/>
              </a:ln>
              <a:effectLst/>
            </c:spPr>
            <c:extLst>
              <c:ext xmlns:c16="http://schemas.microsoft.com/office/drawing/2014/chart" uri="{C3380CC4-5D6E-409C-BE32-E72D297353CC}">
                <c16:uniqueId val="{00000005-0C3E-4002-905B-F547D29A6FE5}"/>
              </c:ext>
            </c:extLst>
          </c:dPt>
          <c:dPt>
            <c:idx val="3"/>
            <c:bubble3D val="0"/>
            <c:spPr>
              <a:solidFill>
                <a:srgbClr val="FF0000"/>
              </a:solidFill>
              <a:ln w="19050">
                <a:noFill/>
              </a:ln>
              <a:effectLst/>
            </c:spPr>
            <c:extLst>
              <c:ext xmlns:c16="http://schemas.microsoft.com/office/drawing/2014/chart" uri="{C3380CC4-5D6E-409C-BE32-E72D297353CC}">
                <c16:uniqueId val="{00000007-0C3E-4002-905B-F547D29A6FE5}"/>
              </c:ext>
            </c:extLst>
          </c:dPt>
          <c:dPt>
            <c:idx val="4"/>
            <c:bubble3D val="0"/>
            <c:spPr>
              <a:solidFill>
                <a:srgbClr val="FF0000"/>
              </a:solidFill>
              <a:ln w="19050">
                <a:noFill/>
              </a:ln>
              <a:effectLst/>
            </c:spPr>
            <c:extLst>
              <c:ext xmlns:c16="http://schemas.microsoft.com/office/drawing/2014/chart" uri="{C3380CC4-5D6E-409C-BE32-E72D297353CC}">
                <c16:uniqueId val="{00000009-0C3E-4002-905B-F547D29A6FE5}"/>
              </c:ext>
            </c:extLst>
          </c:dPt>
          <c:dPt>
            <c:idx val="5"/>
            <c:bubble3D val="0"/>
            <c:spPr>
              <a:solidFill>
                <a:srgbClr val="FFC000"/>
              </a:solidFill>
              <a:ln w="19050">
                <a:noFill/>
              </a:ln>
              <a:effectLst/>
            </c:spPr>
            <c:extLst>
              <c:ext xmlns:c16="http://schemas.microsoft.com/office/drawing/2014/chart" uri="{C3380CC4-5D6E-409C-BE32-E72D297353CC}">
                <c16:uniqueId val="{0000000B-0C3E-4002-905B-F547D29A6FE5}"/>
              </c:ext>
            </c:extLst>
          </c:dPt>
          <c:dPt>
            <c:idx val="6"/>
            <c:bubble3D val="0"/>
            <c:spPr>
              <a:solidFill>
                <a:srgbClr val="00B050"/>
              </a:solidFill>
              <a:ln w="19050">
                <a:noFill/>
              </a:ln>
              <a:effectLst/>
            </c:spPr>
            <c:extLst>
              <c:ext xmlns:c16="http://schemas.microsoft.com/office/drawing/2014/chart" uri="{C3380CC4-5D6E-409C-BE32-E72D297353CC}">
                <c16:uniqueId val="{0000000D-0C3E-4002-905B-F547D29A6FE5}"/>
              </c:ext>
            </c:extLst>
          </c:dPt>
          <c:dPt>
            <c:idx val="7"/>
            <c:bubble3D val="0"/>
            <c:spPr>
              <a:noFill/>
              <a:ln w="19050">
                <a:noFill/>
              </a:ln>
              <a:effectLst/>
            </c:spPr>
            <c:extLst>
              <c:ext xmlns:c16="http://schemas.microsoft.com/office/drawing/2014/chart" uri="{C3380CC4-5D6E-409C-BE32-E72D297353CC}">
                <c16:uniqueId val="{0000000F-0C3E-4002-905B-F547D29A6FE5}"/>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0C3E-4002-905B-F547D29A6FE5}"/>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0C3E-4002-905B-F547D29A6FE5}"/>
              </c:ext>
            </c:extLst>
          </c:dPt>
          <c:dPt>
            <c:idx val="1"/>
            <c:bubble3D val="0"/>
            <c:spPr>
              <a:solidFill>
                <a:schemeClr val="tx1"/>
              </a:solidFill>
              <a:ln w="19050">
                <a:noFill/>
              </a:ln>
              <a:effectLst/>
            </c:spPr>
            <c:extLst>
              <c:ext xmlns:c16="http://schemas.microsoft.com/office/drawing/2014/chart" uri="{C3380CC4-5D6E-409C-BE32-E72D297353CC}">
                <c16:uniqueId val="{00000014-0C3E-4002-905B-F547D29A6FE5}"/>
              </c:ext>
            </c:extLst>
          </c:dPt>
          <c:dPt>
            <c:idx val="2"/>
            <c:bubble3D val="0"/>
            <c:spPr>
              <a:noFill/>
              <a:ln w="19050">
                <a:noFill/>
              </a:ln>
              <a:effectLst/>
            </c:spPr>
            <c:extLst>
              <c:ext xmlns:c16="http://schemas.microsoft.com/office/drawing/2014/chart" uri="{C3380CC4-5D6E-409C-BE32-E72D297353CC}">
                <c16:uniqueId val="{00000016-0C3E-4002-905B-F547D29A6FE5}"/>
              </c:ext>
            </c:extLst>
          </c:dPt>
          <c:val>
            <c:numRef>
              <c:f>Reference!$J$47:$L$47</c:f>
              <c:numCache>
                <c:formatCode>General</c:formatCode>
                <c:ptCount val="3"/>
                <c:pt idx="0" formatCode="0%">
                  <c:v>1</c:v>
                </c:pt>
                <c:pt idx="1">
                  <c:v>0.03</c:v>
                </c:pt>
                <c:pt idx="2">
                  <c:v>0.97</c:v>
                </c:pt>
              </c:numCache>
            </c:numRef>
          </c:val>
          <c:extLst>
            <c:ext xmlns:c16="http://schemas.microsoft.com/office/drawing/2014/chart" uri="{C3380CC4-5D6E-409C-BE32-E72D297353CC}">
              <c16:uniqueId val="{00000017-0C3E-4002-905B-F547D29A6FE5}"/>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ED5A-499B-A7EA-C09B4B86A7FB}"/>
              </c:ext>
            </c:extLst>
          </c:dPt>
          <c:dPt>
            <c:idx val="1"/>
            <c:bubble3D val="0"/>
            <c:spPr>
              <a:solidFill>
                <a:srgbClr val="FF0000"/>
              </a:solidFill>
              <a:ln w="19050">
                <a:noFill/>
              </a:ln>
              <a:effectLst/>
            </c:spPr>
            <c:extLst>
              <c:ext xmlns:c16="http://schemas.microsoft.com/office/drawing/2014/chart" uri="{C3380CC4-5D6E-409C-BE32-E72D297353CC}">
                <c16:uniqueId val="{00000003-ED5A-499B-A7EA-C09B4B86A7FB}"/>
              </c:ext>
            </c:extLst>
          </c:dPt>
          <c:dPt>
            <c:idx val="2"/>
            <c:bubble3D val="0"/>
            <c:spPr>
              <a:solidFill>
                <a:srgbClr val="FF0000"/>
              </a:solidFill>
              <a:ln w="19050">
                <a:noFill/>
              </a:ln>
              <a:effectLst/>
            </c:spPr>
            <c:extLst>
              <c:ext xmlns:c16="http://schemas.microsoft.com/office/drawing/2014/chart" uri="{C3380CC4-5D6E-409C-BE32-E72D297353CC}">
                <c16:uniqueId val="{00000005-ED5A-499B-A7EA-C09B4B86A7FB}"/>
              </c:ext>
            </c:extLst>
          </c:dPt>
          <c:dPt>
            <c:idx val="3"/>
            <c:bubble3D val="0"/>
            <c:spPr>
              <a:solidFill>
                <a:srgbClr val="FF0000"/>
              </a:solidFill>
              <a:ln w="19050">
                <a:noFill/>
              </a:ln>
              <a:effectLst/>
            </c:spPr>
            <c:extLst>
              <c:ext xmlns:c16="http://schemas.microsoft.com/office/drawing/2014/chart" uri="{C3380CC4-5D6E-409C-BE32-E72D297353CC}">
                <c16:uniqueId val="{00000007-ED5A-499B-A7EA-C09B4B86A7FB}"/>
              </c:ext>
            </c:extLst>
          </c:dPt>
          <c:dPt>
            <c:idx val="4"/>
            <c:bubble3D val="0"/>
            <c:spPr>
              <a:solidFill>
                <a:srgbClr val="FF0000"/>
              </a:solidFill>
              <a:ln w="19050">
                <a:noFill/>
              </a:ln>
              <a:effectLst/>
            </c:spPr>
            <c:extLst>
              <c:ext xmlns:c16="http://schemas.microsoft.com/office/drawing/2014/chart" uri="{C3380CC4-5D6E-409C-BE32-E72D297353CC}">
                <c16:uniqueId val="{00000009-ED5A-499B-A7EA-C09B4B86A7FB}"/>
              </c:ext>
            </c:extLst>
          </c:dPt>
          <c:dPt>
            <c:idx val="5"/>
            <c:bubble3D val="0"/>
            <c:spPr>
              <a:solidFill>
                <a:srgbClr val="FFC000"/>
              </a:solidFill>
              <a:ln w="19050">
                <a:noFill/>
              </a:ln>
              <a:effectLst/>
            </c:spPr>
            <c:extLst>
              <c:ext xmlns:c16="http://schemas.microsoft.com/office/drawing/2014/chart" uri="{C3380CC4-5D6E-409C-BE32-E72D297353CC}">
                <c16:uniqueId val="{0000000B-ED5A-499B-A7EA-C09B4B86A7FB}"/>
              </c:ext>
            </c:extLst>
          </c:dPt>
          <c:dPt>
            <c:idx val="6"/>
            <c:bubble3D val="0"/>
            <c:spPr>
              <a:solidFill>
                <a:srgbClr val="00B050"/>
              </a:solidFill>
              <a:ln w="19050">
                <a:noFill/>
              </a:ln>
              <a:effectLst/>
            </c:spPr>
            <c:extLst>
              <c:ext xmlns:c16="http://schemas.microsoft.com/office/drawing/2014/chart" uri="{C3380CC4-5D6E-409C-BE32-E72D297353CC}">
                <c16:uniqueId val="{0000000D-ED5A-499B-A7EA-C09B4B86A7FB}"/>
              </c:ext>
            </c:extLst>
          </c:dPt>
          <c:dPt>
            <c:idx val="7"/>
            <c:bubble3D val="0"/>
            <c:spPr>
              <a:noFill/>
              <a:ln w="19050">
                <a:noFill/>
              </a:ln>
              <a:effectLst/>
            </c:spPr>
            <c:extLst>
              <c:ext xmlns:c16="http://schemas.microsoft.com/office/drawing/2014/chart" uri="{C3380CC4-5D6E-409C-BE32-E72D297353CC}">
                <c16:uniqueId val="{0000000F-ED5A-499B-A7EA-C09B4B86A7FB}"/>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ED5A-499B-A7EA-C09B4B86A7FB}"/>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ED5A-499B-A7EA-C09B4B86A7FB}"/>
              </c:ext>
            </c:extLst>
          </c:dPt>
          <c:dPt>
            <c:idx val="1"/>
            <c:bubble3D val="0"/>
            <c:spPr>
              <a:solidFill>
                <a:schemeClr val="tx1"/>
              </a:solidFill>
              <a:ln w="19050">
                <a:noFill/>
              </a:ln>
              <a:effectLst/>
            </c:spPr>
            <c:extLst>
              <c:ext xmlns:c16="http://schemas.microsoft.com/office/drawing/2014/chart" uri="{C3380CC4-5D6E-409C-BE32-E72D297353CC}">
                <c16:uniqueId val="{00000014-ED5A-499B-A7EA-C09B4B86A7FB}"/>
              </c:ext>
            </c:extLst>
          </c:dPt>
          <c:dPt>
            <c:idx val="2"/>
            <c:bubble3D val="0"/>
            <c:spPr>
              <a:noFill/>
              <a:ln w="19050">
                <a:noFill/>
              </a:ln>
              <a:effectLst/>
            </c:spPr>
            <c:extLst>
              <c:ext xmlns:c16="http://schemas.microsoft.com/office/drawing/2014/chart" uri="{C3380CC4-5D6E-409C-BE32-E72D297353CC}">
                <c16:uniqueId val="{00000016-ED5A-499B-A7EA-C09B4B86A7FB}"/>
              </c:ext>
            </c:extLst>
          </c:dPt>
          <c:val>
            <c:numRef>
              <c:f>Reference!$J$57:$L$57</c:f>
              <c:numCache>
                <c:formatCode>General</c:formatCode>
                <c:ptCount val="3"/>
                <c:pt idx="0" formatCode="0%">
                  <c:v>1</c:v>
                </c:pt>
                <c:pt idx="1">
                  <c:v>0.03</c:v>
                </c:pt>
                <c:pt idx="2" formatCode="0.00">
                  <c:v>0.97</c:v>
                </c:pt>
              </c:numCache>
            </c:numRef>
          </c:val>
          <c:extLst>
            <c:ext xmlns:c16="http://schemas.microsoft.com/office/drawing/2014/chart" uri="{C3380CC4-5D6E-409C-BE32-E72D297353CC}">
              <c16:uniqueId val="{00000017-ED5A-499B-A7EA-C09B4B86A7FB}"/>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92CF-4998-9C93-080C0BC2A553}"/>
              </c:ext>
            </c:extLst>
          </c:dPt>
          <c:dPt>
            <c:idx val="1"/>
            <c:bubble3D val="0"/>
            <c:spPr>
              <a:solidFill>
                <a:srgbClr val="FF0000"/>
              </a:solidFill>
              <a:ln w="19050">
                <a:noFill/>
              </a:ln>
              <a:effectLst/>
            </c:spPr>
            <c:extLst>
              <c:ext xmlns:c16="http://schemas.microsoft.com/office/drawing/2014/chart" uri="{C3380CC4-5D6E-409C-BE32-E72D297353CC}">
                <c16:uniqueId val="{00000003-92CF-4998-9C93-080C0BC2A553}"/>
              </c:ext>
            </c:extLst>
          </c:dPt>
          <c:dPt>
            <c:idx val="2"/>
            <c:bubble3D val="0"/>
            <c:spPr>
              <a:solidFill>
                <a:srgbClr val="FF0000"/>
              </a:solidFill>
              <a:ln w="19050">
                <a:noFill/>
              </a:ln>
              <a:effectLst/>
            </c:spPr>
            <c:extLst>
              <c:ext xmlns:c16="http://schemas.microsoft.com/office/drawing/2014/chart" uri="{C3380CC4-5D6E-409C-BE32-E72D297353CC}">
                <c16:uniqueId val="{00000005-92CF-4998-9C93-080C0BC2A553}"/>
              </c:ext>
            </c:extLst>
          </c:dPt>
          <c:dPt>
            <c:idx val="3"/>
            <c:bubble3D val="0"/>
            <c:spPr>
              <a:solidFill>
                <a:srgbClr val="FF0000"/>
              </a:solidFill>
              <a:ln w="19050">
                <a:noFill/>
              </a:ln>
              <a:effectLst/>
            </c:spPr>
            <c:extLst>
              <c:ext xmlns:c16="http://schemas.microsoft.com/office/drawing/2014/chart" uri="{C3380CC4-5D6E-409C-BE32-E72D297353CC}">
                <c16:uniqueId val="{00000007-92CF-4998-9C93-080C0BC2A553}"/>
              </c:ext>
            </c:extLst>
          </c:dPt>
          <c:dPt>
            <c:idx val="4"/>
            <c:bubble3D val="0"/>
            <c:spPr>
              <a:solidFill>
                <a:srgbClr val="FF0000"/>
              </a:solidFill>
              <a:ln w="19050">
                <a:noFill/>
              </a:ln>
              <a:effectLst/>
            </c:spPr>
            <c:extLst>
              <c:ext xmlns:c16="http://schemas.microsoft.com/office/drawing/2014/chart" uri="{C3380CC4-5D6E-409C-BE32-E72D297353CC}">
                <c16:uniqueId val="{00000009-92CF-4998-9C93-080C0BC2A553}"/>
              </c:ext>
            </c:extLst>
          </c:dPt>
          <c:dPt>
            <c:idx val="5"/>
            <c:bubble3D val="0"/>
            <c:spPr>
              <a:solidFill>
                <a:srgbClr val="FFC000"/>
              </a:solidFill>
              <a:ln w="19050">
                <a:noFill/>
              </a:ln>
              <a:effectLst/>
            </c:spPr>
            <c:extLst>
              <c:ext xmlns:c16="http://schemas.microsoft.com/office/drawing/2014/chart" uri="{C3380CC4-5D6E-409C-BE32-E72D297353CC}">
                <c16:uniqueId val="{0000000B-92CF-4998-9C93-080C0BC2A553}"/>
              </c:ext>
            </c:extLst>
          </c:dPt>
          <c:dPt>
            <c:idx val="6"/>
            <c:bubble3D val="0"/>
            <c:spPr>
              <a:solidFill>
                <a:srgbClr val="00B050"/>
              </a:solidFill>
              <a:ln w="19050">
                <a:noFill/>
              </a:ln>
              <a:effectLst/>
            </c:spPr>
            <c:extLst>
              <c:ext xmlns:c16="http://schemas.microsoft.com/office/drawing/2014/chart" uri="{C3380CC4-5D6E-409C-BE32-E72D297353CC}">
                <c16:uniqueId val="{0000000D-92CF-4998-9C93-080C0BC2A553}"/>
              </c:ext>
            </c:extLst>
          </c:dPt>
          <c:dPt>
            <c:idx val="7"/>
            <c:bubble3D val="0"/>
            <c:spPr>
              <a:noFill/>
              <a:ln w="19050">
                <a:noFill/>
              </a:ln>
              <a:effectLst/>
            </c:spPr>
            <c:extLst>
              <c:ext xmlns:c16="http://schemas.microsoft.com/office/drawing/2014/chart" uri="{C3380CC4-5D6E-409C-BE32-E72D297353CC}">
                <c16:uniqueId val="{0000000F-92CF-4998-9C93-080C0BC2A553}"/>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92CF-4998-9C93-080C0BC2A553}"/>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92CF-4998-9C93-080C0BC2A553}"/>
              </c:ext>
            </c:extLst>
          </c:dPt>
          <c:dPt>
            <c:idx val="1"/>
            <c:bubble3D val="0"/>
            <c:spPr>
              <a:solidFill>
                <a:schemeClr val="tx1"/>
              </a:solidFill>
              <a:ln w="19050">
                <a:noFill/>
              </a:ln>
              <a:effectLst/>
            </c:spPr>
            <c:extLst>
              <c:ext xmlns:c16="http://schemas.microsoft.com/office/drawing/2014/chart" uri="{C3380CC4-5D6E-409C-BE32-E72D297353CC}">
                <c16:uniqueId val="{00000014-92CF-4998-9C93-080C0BC2A553}"/>
              </c:ext>
            </c:extLst>
          </c:dPt>
          <c:dPt>
            <c:idx val="2"/>
            <c:bubble3D val="0"/>
            <c:spPr>
              <a:noFill/>
              <a:ln w="19050">
                <a:noFill/>
              </a:ln>
              <a:effectLst/>
            </c:spPr>
            <c:extLst>
              <c:ext xmlns:c16="http://schemas.microsoft.com/office/drawing/2014/chart" uri="{C3380CC4-5D6E-409C-BE32-E72D297353CC}">
                <c16:uniqueId val="{00000016-92CF-4998-9C93-080C0BC2A553}"/>
              </c:ext>
            </c:extLst>
          </c:dPt>
          <c:val>
            <c:numRef>
              <c:f>Reference!$R$9:$T$9</c:f>
              <c:numCache>
                <c:formatCode>General</c:formatCode>
                <c:ptCount val="3"/>
                <c:pt idx="0" formatCode="0%">
                  <c:v>1</c:v>
                </c:pt>
                <c:pt idx="1">
                  <c:v>0.03</c:v>
                </c:pt>
                <c:pt idx="2">
                  <c:v>0.97</c:v>
                </c:pt>
              </c:numCache>
            </c:numRef>
          </c:val>
          <c:extLst>
            <c:ext xmlns:c16="http://schemas.microsoft.com/office/drawing/2014/chart" uri="{C3380CC4-5D6E-409C-BE32-E72D297353CC}">
              <c16:uniqueId val="{00000017-92CF-4998-9C93-080C0BC2A553}"/>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07BD-44E3-AFA1-F698386C6DB7}"/>
              </c:ext>
            </c:extLst>
          </c:dPt>
          <c:dPt>
            <c:idx val="1"/>
            <c:bubble3D val="0"/>
            <c:spPr>
              <a:solidFill>
                <a:srgbClr val="FF0000"/>
              </a:solidFill>
              <a:ln w="19050">
                <a:noFill/>
              </a:ln>
              <a:effectLst/>
            </c:spPr>
            <c:extLst>
              <c:ext xmlns:c16="http://schemas.microsoft.com/office/drawing/2014/chart" uri="{C3380CC4-5D6E-409C-BE32-E72D297353CC}">
                <c16:uniqueId val="{00000003-07BD-44E3-AFA1-F698386C6DB7}"/>
              </c:ext>
            </c:extLst>
          </c:dPt>
          <c:dPt>
            <c:idx val="2"/>
            <c:bubble3D val="0"/>
            <c:spPr>
              <a:solidFill>
                <a:srgbClr val="FF0000"/>
              </a:solidFill>
              <a:ln w="19050">
                <a:noFill/>
              </a:ln>
              <a:effectLst/>
            </c:spPr>
            <c:extLst>
              <c:ext xmlns:c16="http://schemas.microsoft.com/office/drawing/2014/chart" uri="{C3380CC4-5D6E-409C-BE32-E72D297353CC}">
                <c16:uniqueId val="{00000005-07BD-44E3-AFA1-F698386C6DB7}"/>
              </c:ext>
            </c:extLst>
          </c:dPt>
          <c:dPt>
            <c:idx val="3"/>
            <c:bubble3D val="0"/>
            <c:spPr>
              <a:solidFill>
                <a:srgbClr val="FF0000"/>
              </a:solidFill>
              <a:ln w="19050">
                <a:noFill/>
              </a:ln>
              <a:effectLst/>
            </c:spPr>
            <c:extLst>
              <c:ext xmlns:c16="http://schemas.microsoft.com/office/drawing/2014/chart" uri="{C3380CC4-5D6E-409C-BE32-E72D297353CC}">
                <c16:uniqueId val="{00000007-07BD-44E3-AFA1-F698386C6DB7}"/>
              </c:ext>
            </c:extLst>
          </c:dPt>
          <c:dPt>
            <c:idx val="4"/>
            <c:bubble3D val="0"/>
            <c:spPr>
              <a:solidFill>
                <a:srgbClr val="FF0000"/>
              </a:solidFill>
              <a:ln w="19050">
                <a:noFill/>
              </a:ln>
              <a:effectLst/>
            </c:spPr>
            <c:extLst>
              <c:ext xmlns:c16="http://schemas.microsoft.com/office/drawing/2014/chart" uri="{C3380CC4-5D6E-409C-BE32-E72D297353CC}">
                <c16:uniqueId val="{00000009-07BD-44E3-AFA1-F698386C6DB7}"/>
              </c:ext>
            </c:extLst>
          </c:dPt>
          <c:dPt>
            <c:idx val="5"/>
            <c:bubble3D val="0"/>
            <c:spPr>
              <a:solidFill>
                <a:srgbClr val="FFC000"/>
              </a:solidFill>
              <a:ln w="19050">
                <a:noFill/>
              </a:ln>
              <a:effectLst/>
            </c:spPr>
            <c:extLst>
              <c:ext xmlns:c16="http://schemas.microsoft.com/office/drawing/2014/chart" uri="{C3380CC4-5D6E-409C-BE32-E72D297353CC}">
                <c16:uniqueId val="{0000000B-07BD-44E3-AFA1-F698386C6DB7}"/>
              </c:ext>
            </c:extLst>
          </c:dPt>
          <c:dPt>
            <c:idx val="6"/>
            <c:bubble3D val="0"/>
            <c:spPr>
              <a:solidFill>
                <a:srgbClr val="00B050"/>
              </a:solidFill>
              <a:ln w="19050">
                <a:noFill/>
              </a:ln>
              <a:effectLst/>
            </c:spPr>
            <c:extLst>
              <c:ext xmlns:c16="http://schemas.microsoft.com/office/drawing/2014/chart" uri="{C3380CC4-5D6E-409C-BE32-E72D297353CC}">
                <c16:uniqueId val="{0000000D-07BD-44E3-AFA1-F698386C6DB7}"/>
              </c:ext>
            </c:extLst>
          </c:dPt>
          <c:dPt>
            <c:idx val="7"/>
            <c:bubble3D val="0"/>
            <c:spPr>
              <a:noFill/>
              <a:ln w="19050">
                <a:noFill/>
              </a:ln>
              <a:effectLst/>
            </c:spPr>
            <c:extLst>
              <c:ext xmlns:c16="http://schemas.microsoft.com/office/drawing/2014/chart" uri="{C3380CC4-5D6E-409C-BE32-E72D297353CC}">
                <c16:uniqueId val="{0000000F-07BD-44E3-AFA1-F698386C6DB7}"/>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07BD-44E3-AFA1-F698386C6DB7}"/>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07BD-44E3-AFA1-F698386C6DB7}"/>
              </c:ext>
            </c:extLst>
          </c:dPt>
          <c:dPt>
            <c:idx val="1"/>
            <c:bubble3D val="0"/>
            <c:spPr>
              <a:solidFill>
                <a:schemeClr val="tx1"/>
              </a:solidFill>
              <a:ln w="19050">
                <a:noFill/>
              </a:ln>
              <a:effectLst/>
            </c:spPr>
            <c:extLst>
              <c:ext xmlns:c16="http://schemas.microsoft.com/office/drawing/2014/chart" uri="{C3380CC4-5D6E-409C-BE32-E72D297353CC}">
                <c16:uniqueId val="{00000014-07BD-44E3-AFA1-F698386C6DB7}"/>
              </c:ext>
            </c:extLst>
          </c:dPt>
          <c:dPt>
            <c:idx val="2"/>
            <c:bubble3D val="0"/>
            <c:spPr>
              <a:noFill/>
              <a:ln w="19050">
                <a:noFill/>
              </a:ln>
              <a:effectLst/>
            </c:spPr>
            <c:extLst>
              <c:ext xmlns:c16="http://schemas.microsoft.com/office/drawing/2014/chart" uri="{C3380CC4-5D6E-409C-BE32-E72D297353CC}">
                <c16:uniqueId val="{00000016-07BD-44E3-AFA1-F698386C6DB7}"/>
              </c:ext>
            </c:extLst>
          </c:dPt>
          <c:val>
            <c:numRef>
              <c:f>Reference!$R$17:$T$17</c:f>
              <c:numCache>
                <c:formatCode>General</c:formatCode>
                <c:ptCount val="3"/>
                <c:pt idx="0" formatCode="0%">
                  <c:v>1</c:v>
                </c:pt>
                <c:pt idx="1">
                  <c:v>0.03</c:v>
                </c:pt>
                <c:pt idx="2">
                  <c:v>0.97</c:v>
                </c:pt>
              </c:numCache>
            </c:numRef>
          </c:val>
          <c:extLst>
            <c:ext xmlns:c16="http://schemas.microsoft.com/office/drawing/2014/chart" uri="{C3380CC4-5D6E-409C-BE32-E72D297353CC}">
              <c16:uniqueId val="{00000017-07BD-44E3-AFA1-F698386C6DB7}"/>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56EA-447B-9774-FE8617E9B5F7}"/>
              </c:ext>
            </c:extLst>
          </c:dPt>
          <c:dPt>
            <c:idx val="1"/>
            <c:bubble3D val="0"/>
            <c:spPr>
              <a:solidFill>
                <a:srgbClr val="FF0000"/>
              </a:solidFill>
              <a:ln w="19050">
                <a:noFill/>
              </a:ln>
              <a:effectLst/>
            </c:spPr>
            <c:extLst>
              <c:ext xmlns:c16="http://schemas.microsoft.com/office/drawing/2014/chart" uri="{C3380CC4-5D6E-409C-BE32-E72D297353CC}">
                <c16:uniqueId val="{00000003-56EA-447B-9774-FE8617E9B5F7}"/>
              </c:ext>
            </c:extLst>
          </c:dPt>
          <c:dPt>
            <c:idx val="2"/>
            <c:bubble3D val="0"/>
            <c:spPr>
              <a:solidFill>
                <a:srgbClr val="FF0000"/>
              </a:solidFill>
              <a:ln w="19050">
                <a:noFill/>
              </a:ln>
              <a:effectLst/>
            </c:spPr>
            <c:extLst>
              <c:ext xmlns:c16="http://schemas.microsoft.com/office/drawing/2014/chart" uri="{C3380CC4-5D6E-409C-BE32-E72D297353CC}">
                <c16:uniqueId val="{00000005-56EA-447B-9774-FE8617E9B5F7}"/>
              </c:ext>
            </c:extLst>
          </c:dPt>
          <c:dPt>
            <c:idx val="3"/>
            <c:bubble3D val="0"/>
            <c:spPr>
              <a:solidFill>
                <a:srgbClr val="FF0000"/>
              </a:solidFill>
              <a:ln w="19050">
                <a:noFill/>
              </a:ln>
              <a:effectLst/>
            </c:spPr>
            <c:extLst>
              <c:ext xmlns:c16="http://schemas.microsoft.com/office/drawing/2014/chart" uri="{C3380CC4-5D6E-409C-BE32-E72D297353CC}">
                <c16:uniqueId val="{00000007-56EA-447B-9774-FE8617E9B5F7}"/>
              </c:ext>
            </c:extLst>
          </c:dPt>
          <c:dPt>
            <c:idx val="4"/>
            <c:bubble3D val="0"/>
            <c:spPr>
              <a:solidFill>
                <a:srgbClr val="FF0000"/>
              </a:solidFill>
              <a:ln w="19050">
                <a:noFill/>
              </a:ln>
              <a:effectLst/>
            </c:spPr>
            <c:extLst>
              <c:ext xmlns:c16="http://schemas.microsoft.com/office/drawing/2014/chart" uri="{C3380CC4-5D6E-409C-BE32-E72D297353CC}">
                <c16:uniqueId val="{00000009-56EA-447B-9774-FE8617E9B5F7}"/>
              </c:ext>
            </c:extLst>
          </c:dPt>
          <c:dPt>
            <c:idx val="5"/>
            <c:bubble3D val="0"/>
            <c:spPr>
              <a:solidFill>
                <a:srgbClr val="FFC000"/>
              </a:solidFill>
              <a:ln w="19050">
                <a:noFill/>
              </a:ln>
              <a:effectLst/>
            </c:spPr>
            <c:extLst>
              <c:ext xmlns:c16="http://schemas.microsoft.com/office/drawing/2014/chart" uri="{C3380CC4-5D6E-409C-BE32-E72D297353CC}">
                <c16:uniqueId val="{0000000B-56EA-447B-9774-FE8617E9B5F7}"/>
              </c:ext>
            </c:extLst>
          </c:dPt>
          <c:dPt>
            <c:idx val="6"/>
            <c:bubble3D val="0"/>
            <c:spPr>
              <a:solidFill>
                <a:srgbClr val="00B050"/>
              </a:solidFill>
              <a:ln w="19050">
                <a:noFill/>
              </a:ln>
              <a:effectLst/>
            </c:spPr>
            <c:extLst>
              <c:ext xmlns:c16="http://schemas.microsoft.com/office/drawing/2014/chart" uri="{C3380CC4-5D6E-409C-BE32-E72D297353CC}">
                <c16:uniqueId val="{0000000D-56EA-447B-9774-FE8617E9B5F7}"/>
              </c:ext>
            </c:extLst>
          </c:dPt>
          <c:dPt>
            <c:idx val="7"/>
            <c:bubble3D val="0"/>
            <c:spPr>
              <a:noFill/>
              <a:ln w="19050">
                <a:noFill/>
              </a:ln>
              <a:effectLst/>
            </c:spPr>
            <c:extLst>
              <c:ext xmlns:c16="http://schemas.microsoft.com/office/drawing/2014/chart" uri="{C3380CC4-5D6E-409C-BE32-E72D297353CC}">
                <c16:uniqueId val="{0000000F-56EA-447B-9774-FE8617E9B5F7}"/>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56EA-447B-9774-FE8617E9B5F7}"/>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56EA-447B-9774-FE8617E9B5F7}"/>
              </c:ext>
            </c:extLst>
          </c:dPt>
          <c:dPt>
            <c:idx val="1"/>
            <c:bubble3D val="0"/>
            <c:spPr>
              <a:solidFill>
                <a:schemeClr val="tx1"/>
              </a:solidFill>
              <a:ln w="19050">
                <a:noFill/>
              </a:ln>
              <a:effectLst/>
            </c:spPr>
            <c:extLst>
              <c:ext xmlns:c16="http://schemas.microsoft.com/office/drawing/2014/chart" uri="{C3380CC4-5D6E-409C-BE32-E72D297353CC}">
                <c16:uniqueId val="{00000014-56EA-447B-9774-FE8617E9B5F7}"/>
              </c:ext>
            </c:extLst>
          </c:dPt>
          <c:dPt>
            <c:idx val="2"/>
            <c:bubble3D val="0"/>
            <c:spPr>
              <a:noFill/>
              <a:ln w="19050">
                <a:noFill/>
              </a:ln>
              <a:effectLst/>
            </c:spPr>
            <c:extLst>
              <c:ext xmlns:c16="http://schemas.microsoft.com/office/drawing/2014/chart" uri="{C3380CC4-5D6E-409C-BE32-E72D297353CC}">
                <c16:uniqueId val="{00000016-56EA-447B-9774-FE8617E9B5F7}"/>
              </c:ext>
            </c:extLst>
          </c:dPt>
          <c:val>
            <c:numRef>
              <c:f>Reference!$R$28:$T$28</c:f>
              <c:numCache>
                <c:formatCode>General</c:formatCode>
                <c:ptCount val="3"/>
                <c:pt idx="0" formatCode="0%">
                  <c:v>1</c:v>
                </c:pt>
                <c:pt idx="1">
                  <c:v>0.03</c:v>
                </c:pt>
                <c:pt idx="2">
                  <c:v>0.97</c:v>
                </c:pt>
              </c:numCache>
            </c:numRef>
          </c:val>
          <c:extLst>
            <c:ext xmlns:c16="http://schemas.microsoft.com/office/drawing/2014/chart" uri="{C3380CC4-5D6E-409C-BE32-E72D297353CC}">
              <c16:uniqueId val="{00000017-56EA-447B-9774-FE8617E9B5F7}"/>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C775-431F-B5CD-E45AC6803F64}"/>
              </c:ext>
            </c:extLst>
          </c:dPt>
          <c:dPt>
            <c:idx val="1"/>
            <c:bubble3D val="0"/>
            <c:spPr>
              <a:solidFill>
                <a:srgbClr val="FF0000"/>
              </a:solidFill>
              <a:ln w="19050">
                <a:noFill/>
              </a:ln>
              <a:effectLst/>
            </c:spPr>
            <c:extLst>
              <c:ext xmlns:c16="http://schemas.microsoft.com/office/drawing/2014/chart" uri="{C3380CC4-5D6E-409C-BE32-E72D297353CC}">
                <c16:uniqueId val="{00000003-C775-431F-B5CD-E45AC6803F64}"/>
              </c:ext>
            </c:extLst>
          </c:dPt>
          <c:dPt>
            <c:idx val="2"/>
            <c:bubble3D val="0"/>
            <c:spPr>
              <a:solidFill>
                <a:srgbClr val="FF0000"/>
              </a:solidFill>
              <a:ln w="19050">
                <a:noFill/>
              </a:ln>
              <a:effectLst/>
            </c:spPr>
            <c:extLst>
              <c:ext xmlns:c16="http://schemas.microsoft.com/office/drawing/2014/chart" uri="{C3380CC4-5D6E-409C-BE32-E72D297353CC}">
                <c16:uniqueId val="{00000005-C775-431F-B5CD-E45AC6803F64}"/>
              </c:ext>
            </c:extLst>
          </c:dPt>
          <c:dPt>
            <c:idx val="3"/>
            <c:bubble3D val="0"/>
            <c:spPr>
              <a:solidFill>
                <a:srgbClr val="FF0000"/>
              </a:solidFill>
              <a:ln w="19050">
                <a:noFill/>
              </a:ln>
              <a:effectLst/>
            </c:spPr>
            <c:extLst>
              <c:ext xmlns:c16="http://schemas.microsoft.com/office/drawing/2014/chart" uri="{C3380CC4-5D6E-409C-BE32-E72D297353CC}">
                <c16:uniqueId val="{00000007-C775-431F-B5CD-E45AC6803F64}"/>
              </c:ext>
            </c:extLst>
          </c:dPt>
          <c:dPt>
            <c:idx val="4"/>
            <c:bubble3D val="0"/>
            <c:spPr>
              <a:solidFill>
                <a:srgbClr val="FF0000"/>
              </a:solidFill>
              <a:ln w="19050">
                <a:noFill/>
              </a:ln>
              <a:effectLst/>
            </c:spPr>
            <c:extLst>
              <c:ext xmlns:c16="http://schemas.microsoft.com/office/drawing/2014/chart" uri="{C3380CC4-5D6E-409C-BE32-E72D297353CC}">
                <c16:uniqueId val="{00000009-C775-431F-B5CD-E45AC6803F64}"/>
              </c:ext>
            </c:extLst>
          </c:dPt>
          <c:dPt>
            <c:idx val="5"/>
            <c:bubble3D val="0"/>
            <c:spPr>
              <a:solidFill>
                <a:srgbClr val="FFC000"/>
              </a:solidFill>
              <a:ln w="19050">
                <a:noFill/>
              </a:ln>
              <a:effectLst/>
            </c:spPr>
            <c:extLst>
              <c:ext xmlns:c16="http://schemas.microsoft.com/office/drawing/2014/chart" uri="{C3380CC4-5D6E-409C-BE32-E72D297353CC}">
                <c16:uniqueId val="{0000000B-C775-431F-B5CD-E45AC6803F64}"/>
              </c:ext>
            </c:extLst>
          </c:dPt>
          <c:dPt>
            <c:idx val="6"/>
            <c:bubble3D val="0"/>
            <c:spPr>
              <a:solidFill>
                <a:srgbClr val="00B050"/>
              </a:solidFill>
              <a:ln w="19050">
                <a:noFill/>
              </a:ln>
              <a:effectLst/>
            </c:spPr>
            <c:extLst>
              <c:ext xmlns:c16="http://schemas.microsoft.com/office/drawing/2014/chart" uri="{C3380CC4-5D6E-409C-BE32-E72D297353CC}">
                <c16:uniqueId val="{0000000D-C775-431F-B5CD-E45AC6803F64}"/>
              </c:ext>
            </c:extLst>
          </c:dPt>
          <c:dPt>
            <c:idx val="7"/>
            <c:bubble3D val="0"/>
            <c:spPr>
              <a:noFill/>
              <a:ln w="19050">
                <a:noFill/>
              </a:ln>
              <a:effectLst/>
            </c:spPr>
            <c:extLst>
              <c:ext xmlns:c16="http://schemas.microsoft.com/office/drawing/2014/chart" uri="{C3380CC4-5D6E-409C-BE32-E72D297353CC}">
                <c16:uniqueId val="{0000000F-C775-431F-B5CD-E45AC6803F64}"/>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C775-431F-B5CD-E45AC6803F64}"/>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C775-431F-B5CD-E45AC6803F64}"/>
              </c:ext>
            </c:extLst>
          </c:dPt>
          <c:dPt>
            <c:idx val="1"/>
            <c:bubble3D val="0"/>
            <c:spPr>
              <a:solidFill>
                <a:schemeClr val="tx1"/>
              </a:solidFill>
              <a:ln w="19050">
                <a:noFill/>
              </a:ln>
              <a:effectLst/>
            </c:spPr>
            <c:extLst>
              <c:ext xmlns:c16="http://schemas.microsoft.com/office/drawing/2014/chart" uri="{C3380CC4-5D6E-409C-BE32-E72D297353CC}">
                <c16:uniqueId val="{00000014-C775-431F-B5CD-E45AC6803F64}"/>
              </c:ext>
            </c:extLst>
          </c:dPt>
          <c:dPt>
            <c:idx val="2"/>
            <c:bubble3D val="0"/>
            <c:spPr>
              <a:noFill/>
              <a:ln w="19050">
                <a:noFill/>
              </a:ln>
              <a:effectLst/>
            </c:spPr>
            <c:extLst>
              <c:ext xmlns:c16="http://schemas.microsoft.com/office/drawing/2014/chart" uri="{C3380CC4-5D6E-409C-BE32-E72D297353CC}">
                <c16:uniqueId val="{00000016-C775-431F-B5CD-E45AC6803F64}"/>
              </c:ext>
            </c:extLst>
          </c:dPt>
          <c:val>
            <c:numRef>
              <c:f>Reference!$R$38:$T$38</c:f>
              <c:numCache>
                <c:formatCode>General</c:formatCode>
                <c:ptCount val="3"/>
                <c:pt idx="0" formatCode="0%">
                  <c:v>1</c:v>
                </c:pt>
                <c:pt idx="1">
                  <c:v>0.03</c:v>
                </c:pt>
                <c:pt idx="2">
                  <c:v>0.97</c:v>
                </c:pt>
              </c:numCache>
            </c:numRef>
          </c:val>
          <c:extLst>
            <c:ext xmlns:c16="http://schemas.microsoft.com/office/drawing/2014/chart" uri="{C3380CC4-5D6E-409C-BE32-E72D297353CC}">
              <c16:uniqueId val="{00000017-C775-431F-B5CD-E45AC6803F64}"/>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5FC2-403A-8AE9-7EC5424F9394}"/>
              </c:ext>
            </c:extLst>
          </c:dPt>
          <c:dPt>
            <c:idx val="1"/>
            <c:bubble3D val="0"/>
            <c:spPr>
              <a:solidFill>
                <a:srgbClr val="FF0000"/>
              </a:solidFill>
              <a:ln w="19050">
                <a:noFill/>
              </a:ln>
              <a:effectLst/>
            </c:spPr>
            <c:extLst>
              <c:ext xmlns:c16="http://schemas.microsoft.com/office/drawing/2014/chart" uri="{C3380CC4-5D6E-409C-BE32-E72D297353CC}">
                <c16:uniqueId val="{00000003-5FC2-403A-8AE9-7EC5424F9394}"/>
              </c:ext>
            </c:extLst>
          </c:dPt>
          <c:dPt>
            <c:idx val="2"/>
            <c:bubble3D val="0"/>
            <c:spPr>
              <a:solidFill>
                <a:srgbClr val="FF0000"/>
              </a:solidFill>
              <a:ln w="19050">
                <a:noFill/>
              </a:ln>
              <a:effectLst/>
            </c:spPr>
            <c:extLst>
              <c:ext xmlns:c16="http://schemas.microsoft.com/office/drawing/2014/chart" uri="{C3380CC4-5D6E-409C-BE32-E72D297353CC}">
                <c16:uniqueId val="{00000005-5FC2-403A-8AE9-7EC5424F9394}"/>
              </c:ext>
            </c:extLst>
          </c:dPt>
          <c:dPt>
            <c:idx val="3"/>
            <c:bubble3D val="0"/>
            <c:spPr>
              <a:solidFill>
                <a:srgbClr val="FF0000"/>
              </a:solidFill>
              <a:ln w="19050">
                <a:noFill/>
              </a:ln>
              <a:effectLst/>
            </c:spPr>
            <c:extLst>
              <c:ext xmlns:c16="http://schemas.microsoft.com/office/drawing/2014/chart" uri="{C3380CC4-5D6E-409C-BE32-E72D297353CC}">
                <c16:uniqueId val="{00000007-5FC2-403A-8AE9-7EC5424F9394}"/>
              </c:ext>
            </c:extLst>
          </c:dPt>
          <c:dPt>
            <c:idx val="4"/>
            <c:bubble3D val="0"/>
            <c:spPr>
              <a:solidFill>
                <a:srgbClr val="FF0000"/>
              </a:solidFill>
              <a:ln w="19050">
                <a:noFill/>
              </a:ln>
              <a:effectLst/>
            </c:spPr>
            <c:extLst>
              <c:ext xmlns:c16="http://schemas.microsoft.com/office/drawing/2014/chart" uri="{C3380CC4-5D6E-409C-BE32-E72D297353CC}">
                <c16:uniqueId val="{00000009-5FC2-403A-8AE9-7EC5424F9394}"/>
              </c:ext>
            </c:extLst>
          </c:dPt>
          <c:dPt>
            <c:idx val="5"/>
            <c:bubble3D val="0"/>
            <c:spPr>
              <a:solidFill>
                <a:srgbClr val="FFC000"/>
              </a:solidFill>
              <a:ln w="19050">
                <a:noFill/>
              </a:ln>
              <a:effectLst/>
            </c:spPr>
            <c:extLst>
              <c:ext xmlns:c16="http://schemas.microsoft.com/office/drawing/2014/chart" uri="{C3380CC4-5D6E-409C-BE32-E72D297353CC}">
                <c16:uniqueId val="{0000000B-5FC2-403A-8AE9-7EC5424F9394}"/>
              </c:ext>
            </c:extLst>
          </c:dPt>
          <c:dPt>
            <c:idx val="6"/>
            <c:bubble3D val="0"/>
            <c:spPr>
              <a:solidFill>
                <a:srgbClr val="00B050"/>
              </a:solidFill>
              <a:ln w="19050">
                <a:noFill/>
              </a:ln>
              <a:effectLst/>
            </c:spPr>
            <c:extLst>
              <c:ext xmlns:c16="http://schemas.microsoft.com/office/drawing/2014/chart" uri="{C3380CC4-5D6E-409C-BE32-E72D297353CC}">
                <c16:uniqueId val="{0000000D-5FC2-403A-8AE9-7EC5424F9394}"/>
              </c:ext>
            </c:extLst>
          </c:dPt>
          <c:dPt>
            <c:idx val="7"/>
            <c:bubble3D val="0"/>
            <c:spPr>
              <a:noFill/>
              <a:ln w="19050">
                <a:noFill/>
              </a:ln>
              <a:effectLst/>
            </c:spPr>
            <c:extLst>
              <c:ext xmlns:c16="http://schemas.microsoft.com/office/drawing/2014/chart" uri="{C3380CC4-5D6E-409C-BE32-E72D297353CC}">
                <c16:uniqueId val="{0000000F-5FC2-403A-8AE9-7EC5424F9394}"/>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5FC2-403A-8AE9-7EC5424F9394}"/>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5FC2-403A-8AE9-7EC5424F9394}"/>
              </c:ext>
            </c:extLst>
          </c:dPt>
          <c:dPt>
            <c:idx val="1"/>
            <c:bubble3D val="0"/>
            <c:spPr>
              <a:solidFill>
                <a:schemeClr val="tx1"/>
              </a:solidFill>
              <a:ln w="19050">
                <a:noFill/>
              </a:ln>
              <a:effectLst/>
            </c:spPr>
            <c:extLst>
              <c:ext xmlns:c16="http://schemas.microsoft.com/office/drawing/2014/chart" uri="{C3380CC4-5D6E-409C-BE32-E72D297353CC}">
                <c16:uniqueId val="{00000014-5FC2-403A-8AE9-7EC5424F9394}"/>
              </c:ext>
            </c:extLst>
          </c:dPt>
          <c:dPt>
            <c:idx val="2"/>
            <c:bubble3D val="0"/>
            <c:spPr>
              <a:noFill/>
              <a:ln w="19050">
                <a:noFill/>
              </a:ln>
              <a:effectLst/>
            </c:spPr>
            <c:extLst>
              <c:ext xmlns:c16="http://schemas.microsoft.com/office/drawing/2014/chart" uri="{C3380CC4-5D6E-409C-BE32-E72D297353CC}">
                <c16:uniqueId val="{00000016-5FC2-403A-8AE9-7EC5424F9394}"/>
              </c:ext>
            </c:extLst>
          </c:dPt>
          <c:val>
            <c:numRef>
              <c:f>Reference!$R$47:$T$47</c:f>
              <c:numCache>
                <c:formatCode>General</c:formatCode>
                <c:ptCount val="3"/>
                <c:pt idx="0" formatCode="0%">
                  <c:v>0</c:v>
                </c:pt>
                <c:pt idx="1">
                  <c:v>0.03</c:v>
                </c:pt>
                <c:pt idx="2">
                  <c:v>1.97</c:v>
                </c:pt>
              </c:numCache>
            </c:numRef>
          </c:val>
          <c:extLst>
            <c:ext xmlns:c16="http://schemas.microsoft.com/office/drawing/2014/chart" uri="{C3380CC4-5D6E-409C-BE32-E72D297353CC}">
              <c16:uniqueId val="{00000017-5FC2-403A-8AE9-7EC5424F9394}"/>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D0BA-417C-966F-9D1A3D970BF8}"/>
              </c:ext>
            </c:extLst>
          </c:dPt>
          <c:dPt>
            <c:idx val="1"/>
            <c:bubble3D val="0"/>
            <c:spPr>
              <a:solidFill>
                <a:srgbClr val="FF0000"/>
              </a:solidFill>
              <a:ln w="19050">
                <a:noFill/>
              </a:ln>
              <a:effectLst/>
            </c:spPr>
            <c:extLst>
              <c:ext xmlns:c16="http://schemas.microsoft.com/office/drawing/2014/chart" uri="{C3380CC4-5D6E-409C-BE32-E72D297353CC}">
                <c16:uniqueId val="{00000003-D0BA-417C-966F-9D1A3D970BF8}"/>
              </c:ext>
            </c:extLst>
          </c:dPt>
          <c:dPt>
            <c:idx val="2"/>
            <c:bubble3D val="0"/>
            <c:spPr>
              <a:solidFill>
                <a:srgbClr val="FF0000"/>
              </a:solidFill>
              <a:ln w="19050">
                <a:noFill/>
              </a:ln>
              <a:effectLst/>
            </c:spPr>
            <c:extLst>
              <c:ext xmlns:c16="http://schemas.microsoft.com/office/drawing/2014/chart" uri="{C3380CC4-5D6E-409C-BE32-E72D297353CC}">
                <c16:uniqueId val="{00000005-D0BA-417C-966F-9D1A3D970BF8}"/>
              </c:ext>
            </c:extLst>
          </c:dPt>
          <c:dPt>
            <c:idx val="3"/>
            <c:bubble3D val="0"/>
            <c:spPr>
              <a:solidFill>
                <a:srgbClr val="FF0000"/>
              </a:solidFill>
              <a:ln w="19050">
                <a:noFill/>
              </a:ln>
              <a:effectLst/>
            </c:spPr>
            <c:extLst>
              <c:ext xmlns:c16="http://schemas.microsoft.com/office/drawing/2014/chart" uri="{C3380CC4-5D6E-409C-BE32-E72D297353CC}">
                <c16:uniqueId val="{00000007-D0BA-417C-966F-9D1A3D970BF8}"/>
              </c:ext>
            </c:extLst>
          </c:dPt>
          <c:dPt>
            <c:idx val="4"/>
            <c:bubble3D val="0"/>
            <c:spPr>
              <a:solidFill>
                <a:srgbClr val="FF0000"/>
              </a:solidFill>
              <a:ln w="19050">
                <a:noFill/>
              </a:ln>
              <a:effectLst/>
            </c:spPr>
            <c:extLst>
              <c:ext xmlns:c16="http://schemas.microsoft.com/office/drawing/2014/chart" uri="{C3380CC4-5D6E-409C-BE32-E72D297353CC}">
                <c16:uniqueId val="{00000009-D0BA-417C-966F-9D1A3D970BF8}"/>
              </c:ext>
            </c:extLst>
          </c:dPt>
          <c:dPt>
            <c:idx val="5"/>
            <c:bubble3D val="0"/>
            <c:spPr>
              <a:solidFill>
                <a:srgbClr val="FFC000"/>
              </a:solidFill>
              <a:ln w="19050">
                <a:noFill/>
              </a:ln>
              <a:effectLst/>
            </c:spPr>
            <c:extLst>
              <c:ext xmlns:c16="http://schemas.microsoft.com/office/drawing/2014/chart" uri="{C3380CC4-5D6E-409C-BE32-E72D297353CC}">
                <c16:uniqueId val="{0000000B-D0BA-417C-966F-9D1A3D970BF8}"/>
              </c:ext>
            </c:extLst>
          </c:dPt>
          <c:dPt>
            <c:idx val="6"/>
            <c:bubble3D val="0"/>
            <c:spPr>
              <a:solidFill>
                <a:srgbClr val="00B050"/>
              </a:solidFill>
              <a:ln w="19050">
                <a:noFill/>
              </a:ln>
              <a:effectLst/>
            </c:spPr>
            <c:extLst>
              <c:ext xmlns:c16="http://schemas.microsoft.com/office/drawing/2014/chart" uri="{C3380CC4-5D6E-409C-BE32-E72D297353CC}">
                <c16:uniqueId val="{0000000D-D0BA-417C-966F-9D1A3D970BF8}"/>
              </c:ext>
            </c:extLst>
          </c:dPt>
          <c:dPt>
            <c:idx val="7"/>
            <c:bubble3D val="0"/>
            <c:spPr>
              <a:noFill/>
              <a:ln w="19050">
                <a:noFill/>
              </a:ln>
              <a:effectLst/>
            </c:spPr>
            <c:extLst>
              <c:ext xmlns:c16="http://schemas.microsoft.com/office/drawing/2014/chart" uri="{C3380CC4-5D6E-409C-BE32-E72D297353CC}">
                <c16:uniqueId val="{0000000F-D0BA-417C-966F-9D1A3D970BF8}"/>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D0BA-417C-966F-9D1A3D970BF8}"/>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D0BA-417C-966F-9D1A3D970BF8}"/>
              </c:ext>
            </c:extLst>
          </c:dPt>
          <c:dPt>
            <c:idx val="1"/>
            <c:bubble3D val="0"/>
            <c:spPr>
              <a:solidFill>
                <a:schemeClr val="tx1"/>
              </a:solidFill>
              <a:ln w="19050">
                <a:noFill/>
              </a:ln>
              <a:effectLst/>
            </c:spPr>
            <c:extLst>
              <c:ext xmlns:c16="http://schemas.microsoft.com/office/drawing/2014/chart" uri="{C3380CC4-5D6E-409C-BE32-E72D297353CC}">
                <c16:uniqueId val="{00000014-D0BA-417C-966F-9D1A3D970BF8}"/>
              </c:ext>
            </c:extLst>
          </c:dPt>
          <c:dPt>
            <c:idx val="2"/>
            <c:bubble3D val="0"/>
            <c:spPr>
              <a:noFill/>
              <a:ln w="19050">
                <a:noFill/>
              </a:ln>
              <a:effectLst/>
            </c:spPr>
            <c:extLst>
              <c:ext xmlns:c16="http://schemas.microsoft.com/office/drawing/2014/chart" uri="{C3380CC4-5D6E-409C-BE32-E72D297353CC}">
                <c16:uniqueId val="{00000016-D0BA-417C-966F-9D1A3D970BF8}"/>
              </c:ext>
            </c:extLst>
          </c:dPt>
          <c:val>
            <c:numRef>
              <c:f>Reference!$R$57:$T$57</c:f>
              <c:numCache>
                <c:formatCode>General</c:formatCode>
                <c:ptCount val="3"/>
                <c:pt idx="0" formatCode="0%">
                  <c:v>0</c:v>
                </c:pt>
                <c:pt idx="1">
                  <c:v>0.03</c:v>
                </c:pt>
                <c:pt idx="2">
                  <c:v>1.97</c:v>
                </c:pt>
              </c:numCache>
            </c:numRef>
          </c:val>
          <c:extLst>
            <c:ext xmlns:c16="http://schemas.microsoft.com/office/drawing/2014/chart" uri="{C3380CC4-5D6E-409C-BE32-E72D297353CC}">
              <c16:uniqueId val="{00000017-D0BA-417C-966F-9D1A3D970BF8}"/>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B80D-482D-BBAD-E9AB9055802D}"/>
              </c:ext>
            </c:extLst>
          </c:dPt>
          <c:dPt>
            <c:idx val="1"/>
            <c:bubble3D val="0"/>
            <c:spPr>
              <a:solidFill>
                <a:srgbClr val="FF0000"/>
              </a:solidFill>
              <a:ln w="19050">
                <a:noFill/>
              </a:ln>
              <a:effectLst/>
            </c:spPr>
            <c:extLst>
              <c:ext xmlns:c16="http://schemas.microsoft.com/office/drawing/2014/chart" uri="{C3380CC4-5D6E-409C-BE32-E72D297353CC}">
                <c16:uniqueId val="{00000003-B80D-482D-BBAD-E9AB9055802D}"/>
              </c:ext>
            </c:extLst>
          </c:dPt>
          <c:dPt>
            <c:idx val="2"/>
            <c:bubble3D val="0"/>
            <c:spPr>
              <a:solidFill>
                <a:srgbClr val="FF0000"/>
              </a:solidFill>
              <a:ln w="19050">
                <a:noFill/>
              </a:ln>
              <a:effectLst/>
            </c:spPr>
            <c:extLst>
              <c:ext xmlns:c16="http://schemas.microsoft.com/office/drawing/2014/chart" uri="{C3380CC4-5D6E-409C-BE32-E72D297353CC}">
                <c16:uniqueId val="{00000005-B80D-482D-BBAD-E9AB9055802D}"/>
              </c:ext>
            </c:extLst>
          </c:dPt>
          <c:dPt>
            <c:idx val="3"/>
            <c:bubble3D val="0"/>
            <c:spPr>
              <a:solidFill>
                <a:srgbClr val="FF0000"/>
              </a:solidFill>
              <a:ln w="19050">
                <a:noFill/>
              </a:ln>
              <a:effectLst/>
            </c:spPr>
            <c:extLst>
              <c:ext xmlns:c16="http://schemas.microsoft.com/office/drawing/2014/chart" uri="{C3380CC4-5D6E-409C-BE32-E72D297353CC}">
                <c16:uniqueId val="{00000007-B80D-482D-BBAD-E9AB9055802D}"/>
              </c:ext>
            </c:extLst>
          </c:dPt>
          <c:dPt>
            <c:idx val="4"/>
            <c:bubble3D val="0"/>
            <c:spPr>
              <a:solidFill>
                <a:srgbClr val="FF0000"/>
              </a:solidFill>
              <a:ln w="19050">
                <a:noFill/>
              </a:ln>
              <a:effectLst/>
            </c:spPr>
            <c:extLst>
              <c:ext xmlns:c16="http://schemas.microsoft.com/office/drawing/2014/chart" uri="{C3380CC4-5D6E-409C-BE32-E72D297353CC}">
                <c16:uniqueId val="{00000009-B80D-482D-BBAD-E9AB9055802D}"/>
              </c:ext>
            </c:extLst>
          </c:dPt>
          <c:dPt>
            <c:idx val="5"/>
            <c:bubble3D val="0"/>
            <c:spPr>
              <a:solidFill>
                <a:srgbClr val="FFC000"/>
              </a:solidFill>
              <a:ln w="19050">
                <a:noFill/>
              </a:ln>
              <a:effectLst/>
            </c:spPr>
            <c:extLst>
              <c:ext xmlns:c16="http://schemas.microsoft.com/office/drawing/2014/chart" uri="{C3380CC4-5D6E-409C-BE32-E72D297353CC}">
                <c16:uniqueId val="{0000000B-B80D-482D-BBAD-E9AB9055802D}"/>
              </c:ext>
            </c:extLst>
          </c:dPt>
          <c:dPt>
            <c:idx val="6"/>
            <c:bubble3D val="0"/>
            <c:spPr>
              <a:solidFill>
                <a:srgbClr val="00B050"/>
              </a:solidFill>
              <a:ln w="19050">
                <a:noFill/>
              </a:ln>
              <a:effectLst/>
            </c:spPr>
            <c:extLst>
              <c:ext xmlns:c16="http://schemas.microsoft.com/office/drawing/2014/chart" uri="{C3380CC4-5D6E-409C-BE32-E72D297353CC}">
                <c16:uniqueId val="{0000000D-B80D-482D-BBAD-E9AB9055802D}"/>
              </c:ext>
            </c:extLst>
          </c:dPt>
          <c:dPt>
            <c:idx val="7"/>
            <c:bubble3D val="0"/>
            <c:spPr>
              <a:noFill/>
              <a:ln w="19050">
                <a:noFill/>
              </a:ln>
              <a:effectLst/>
            </c:spPr>
            <c:extLst>
              <c:ext xmlns:c16="http://schemas.microsoft.com/office/drawing/2014/chart" uri="{C3380CC4-5D6E-409C-BE32-E72D297353CC}">
                <c16:uniqueId val="{0000000F-B80D-482D-BBAD-E9AB9055802D}"/>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B80D-482D-BBAD-E9AB9055802D}"/>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B80D-482D-BBAD-E9AB9055802D}"/>
              </c:ext>
            </c:extLst>
          </c:dPt>
          <c:dPt>
            <c:idx val="1"/>
            <c:bubble3D val="0"/>
            <c:spPr>
              <a:solidFill>
                <a:schemeClr val="tx1"/>
              </a:solidFill>
              <a:ln w="19050">
                <a:noFill/>
              </a:ln>
              <a:effectLst/>
            </c:spPr>
            <c:extLst>
              <c:ext xmlns:c16="http://schemas.microsoft.com/office/drawing/2014/chart" uri="{C3380CC4-5D6E-409C-BE32-E72D297353CC}">
                <c16:uniqueId val="{00000014-B80D-482D-BBAD-E9AB9055802D}"/>
              </c:ext>
            </c:extLst>
          </c:dPt>
          <c:dPt>
            <c:idx val="2"/>
            <c:bubble3D val="0"/>
            <c:spPr>
              <a:noFill/>
              <a:ln w="19050">
                <a:noFill/>
              </a:ln>
              <a:effectLst/>
            </c:spPr>
            <c:extLst>
              <c:ext xmlns:c16="http://schemas.microsoft.com/office/drawing/2014/chart" uri="{C3380CC4-5D6E-409C-BE32-E72D297353CC}">
                <c16:uniqueId val="{00000016-B80D-482D-BBAD-E9AB9055802D}"/>
              </c:ext>
            </c:extLst>
          </c:dPt>
          <c:val>
            <c:numRef>
              <c:f>Reference!$B$68:$D$68</c:f>
              <c:numCache>
                <c:formatCode>General</c:formatCode>
                <c:ptCount val="3"/>
                <c:pt idx="0" formatCode="0%">
                  <c:v>1</c:v>
                </c:pt>
                <c:pt idx="1">
                  <c:v>0.03</c:v>
                </c:pt>
                <c:pt idx="2">
                  <c:v>0.97</c:v>
                </c:pt>
              </c:numCache>
            </c:numRef>
          </c:val>
          <c:extLst>
            <c:ext xmlns:c16="http://schemas.microsoft.com/office/drawing/2014/chart" uri="{C3380CC4-5D6E-409C-BE32-E72D297353CC}">
              <c16:uniqueId val="{00000017-B80D-482D-BBAD-E9AB9055802D}"/>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6054-4EC1-8993-8CD21480F40A}"/>
              </c:ext>
            </c:extLst>
          </c:dPt>
          <c:dPt>
            <c:idx val="1"/>
            <c:bubble3D val="0"/>
            <c:spPr>
              <a:solidFill>
                <a:srgbClr val="FF0000"/>
              </a:solidFill>
              <a:ln w="19050">
                <a:noFill/>
              </a:ln>
              <a:effectLst/>
            </c:spPr>
            <c:extLst>
              <c:ext xmlns:c16="http://schemas.microsoft.com/office/drawing/2014/chart" uri="{C3380CC4-5D6E-409C-BE32-E72D297353CC}">
                <c16:uniqueId val="{00000003-6054-4EC1-8993-8CD21480F40A}"/>
              </c:ext>
            </c:extLst>
          </c:dPt>
          <c:dPt>
            <c:idx val="2"/>
            <c:bubble3D val="0"/>
            <c:spPr>
              <a:solidFill>
                <a:srgbClr val="FF0000"/>
              </a:solidFill>
              <a:ln w="19050">
                <a:noFill/>
              </a:ln>
              <a:effectLst/>
            </c:spPr>
            <c:extLst>
              <c:ext xmlns:c16="http://schemas.microsoft.com/office/drawing/2014/chart" uri="{C3380CC4-5D6E-409C-BE32-E72D297353CC}">
                <c16:uniqueId val="{00000005-6054-4EC1-8993-8CD21480F40A}"/>
              </c:ext>
            </c:extLst>
          </c:dPt>
          <c:dPt>
            <c:idx val="3"/>
            <c:bubble3D val="0"/>
            <c:spPr>
              <a:solidFill>
                <a:srgbClr val="FF0000"/>
              </a:solidFill>
              <a:ln w="19050">
                <a:noFill/>
              </a:ln>
              <a:effectLst/>
            </c:spPr>
            <c:extLst>
              <c:ext xmlns:c16="http://schemas.microsoft.com/office/drawing/2014/chart" uri="{C3380CC4-5D6E-409C-BE32-E72D297353CC}">
                <c16:uniqueId val="{00000007-6054-4EC1-8993-8CD21480F40A}"/>
              </c:ext>
            </c:extLst>
          </c:dPt>
          <c:dPt>
            <c:idx val="4"/>
            <c:bubble3D val="0"/>
            <c:spPr>
              <a:solidFill>
                <a:srgbClr val="FF0000"/>
              </a:solidFill>
              <a:ln w="19050">
                <a:noFill/>
              </a:ln>
              <a:effectLst/>
            </c:spPr>
            <c:extLst>
              <c:ext xmlns:c16="http://schemas.microsoft.com/office/drawing/2014/chart" uri="{C3380CC4-5D6E-409C-BE32-E72D297353CC}">
                <c16:uniqueId val="{00000009-6054-4EC1-8993-8CD21480F40A}"/>
              </c:ext>
            </c:extLst>
          </c:dPt>
          <c:dPt>
            <c:idx val="5"/>
            <c:bubble3D val="0"/>
            <c:spPr>
              <a:solidFill>
                <a:srgbClr val="FFC000"/>
              </a:solidFill>
              <a:ln w="19050">
                <a:noFill/>
              </a:ln>
              <a:effectLst/>
            </c:spPr>
            <c:extLst>
              <c:ext xmlns:c16="http://schemas.microsoft.com/office/drawing/2014/chart" uri="{C3380CC4-5D6E-409C-BE32-E72D297353CC}">
                <c16:uniqueId val="{0000000B-6054-4EC1-8993-8CD21480F40A}"/>
              </c:ext>
            </c:extLst>
          </c:dPt>
          <c:dPt>
            <c:idx val="6"/>
            <c:bubble3D val="0"/>
            <c:spPr>
              <a:solidFill>
                <a:srgbClr val="00B050"/>
              </a:solidFill>
              <a:ln w="19050">
                <a:noFill/>
              </a:ln>
              <a:effectLst/>
            </c:spPr>
            <c:extLst>
              <c:ext xmlns:c16="http://schemas.microsoft.com/office/drawing/2014/chart" uri="{C3380CC4-5D6E-409C-BE32-E72D297353CC}">
                <c16:uniqueId val="{0000000D-6054-4EC1-8993-8CD21480F40A}"/>
              </c:ext>
            </c:extLst>
          </c:dPt>
          <c:dPt>
            <c:idx val="7"/>
            <c:bubble3D val="0"/>
            <c:spPr>
              <a:noFill/>
              <a:ln w="19050">
                <a:noFill/>
              </a:ln>
              <a:effectLst/>
            </c:spPr>
            <c:extLst>
              <c:ext xmlns:c16="http://schemas.microsoft.com/office/drawing/2014/chart" uri="{C3380CC4-5D6E-409C-BE32-E72D297353CC}">
                <c16:uniqueId val="{0000000F-6054-4EC1-8993-8CD21480F40A}"/>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6054-4EC1-8993-8CD21480F40A}"/>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6054-4EC1-8993-8CD21480F40A}"/>
              </c:ext>
            </c:extLst>
          </c:dPt>
          <c:dPt>
            <c:idx val="1"/>
            <c:bubble3D val="0"/>
            <c:spPr>
              <a:solidFill>
                <a:schemeClr val="tx1"/>
              </a:solidFill>
              <a:ln w="19050">
                <a:noFill/>
              </a:ln>
              <a:effectLst/>
            </c:spPr>
            <c:extLst>
              <c:ext xmlns:c16="http://schemas.microsoft.com/office/drawing/2014/chart" uri="{C3380CC4-5D6E-409C-BE32-E72D297353CC}">
                <c16:uniqueId val="{00000014-6054-4EC1-8993-8CD21480F40A}"/>
              </c:ext>
            </c:extLst>
          </c:dPt>
          <c:dPt>
            <c:idx val="2"/>
            <c:bubble3D val="0"/>
            <c:spPr>
              <a:noFill/>
              <a:ln w="19050">
                <a:noFill/>
              </a:ln>
              <a:effectLst/>
            </c:spPr>
            <c:extLst>
              <c:ext xmlns:c16="http://schemas.microsoft.com/office/drawing/2014/chart" uri="{C3380CC4-5D6E-409C-BE32-E72D297353CC}">
                <c16:uniqueId val="{00000016-6054-4EC1-8993-8CD21480F40A}"/>
              </c:ext>
            </c:extLst>
          </c:dPt>
          <c:val>
            <c:numRef>
              <c:f>Reference!$B$17:$D$17</c:f>
              <c:numCache>
                <c:formatCode>General</c:formatCode>
                <c:ptCount val="3"/>
                <c:pt idx="0" formatCode="0%">
                  <c:v>1</c:v>
                </c:pt>
                <c:pt idx="1">
                  <c:v>0.03</c:v>
                </c:pt>
                <c:pt idx="2">
                  <c:v>0.97</c:v>
                </c:pt>
              </c:numCache>
            </c:numRef>
          </c:val>
          <c:extLst>
            <c:ext xmlns:c16="http://schemas.microsoft.com/office/drawing/2014/chart" uri="{C3380CC4-5D6E-409C-BE32-E72D297353CC}">
              <c16:uniqueId val="{00000017-6054-4EC1-8993-8CD21480F40A}"/>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7450-40F3-81EC-554A9A193AEA}"/>
              </c:ext>
            </c:extLst>
          </c:dPt>
          <c:dPt>
            <c:idx val="1"/>
            <c:bubble3D val="0"/>
            <c:spPr>
              <a:solidFill>
                <a:srgbClr val="FF0000"/>
              </a:solidFill>
              <a:ln w="19050">
                <a:noFill/>
              </a:ln>
              <a:effectLst/>
            </c:spPr>
            <c:extLst>
              <c:ext xmlns:c16="http://schemas.microsoft.com/office/drawing/2014/chart" uri="{C3380CC4-5D6E-409C-BE32-E72D297353CC}">
                <c16:uniqueId val="{00000003-7450-40F3-81EC-554A9A193AEA}"/>
              </c:ext>
            </c:extLst>
          </c:dPt>
          <c:dPt>
            <c:idx val="2"/>
            <c:bubble3D val="0"/>
            <c:spPr>
              <a:solidFill>
                <a:srgbClr val="FF0000"/>
              </a:solidFill>
              <a:ln w="19050">
                <a:noFill/>
              </a:ln>
              <a:effectLst/>
            </c:spPr>
            <c:extLst>
              <c:ext xmlns:c16="http://schemas.microsoft.com/office/drawing/2014/chart" uri="{C3380CC4-5D6E-409C-BE32-E72D297353CC}">
                <c16:uniqueId val="{00000005-7450-40F3-81EC-554A9A193AEA}"/>
              </c:ext>
            </c:extLst>
          </c:dPt>
          <c:dPt>
            <c:idx val="3"/>
            <c:bubble3D val="0"/>
            <c:spPr>
              <a:solidFill>
                <a:srgbClr val="FF0000"/>
              </a:solidFill>
              <a:ln w="19050">
                <a:noFill/>
              </a:ln>
              <a:effectLst/>
            </c:spPr>
            <c:extLst>
              <c:ext xmlns:c16="http://schemas.microsoft.com/office/drawing/2014/chart" uri="{C3380CC4-5D6E-409C-BE32-E72D297353CC}">
                <c16:uniqueId val="{00000007-7450-40F3-81EC-554A9A193AEA}"/>
              </c:ext>
            </c:extLst>
          </c:dPt>
          <c:dPt>
            <c:idx val="4"/>
            <c:bubble3D val="0"/>
            <c:spPr>
              <a:solidFill>
                <a:srgbClr val="FF0000"/>
              </a:solidFill>
              <a:ln w="19050">
                <a:noFill/>
              </a:ln>
              <a:effectLst/>
            </c:spPr>
            <c:extLst>
              <c:ext xmlns:c16="http://schemas.microsoft.com/office/drawing/2014/chart" uri="{C3380CC4-5D6E-409C-BE32-E72D297353CC}">
                <c16:uniqueId val="{00000009-7450-40F3-81EC-554A9A193AEA}"/>
              </c:ext>
            </c:extLst>
          </c:dPt>
          <c:dPt>
            <c:idx val="5"/>
            <c:bubble3D val="0"/>
            <c:spPr>
              <a:solidFill>
                <a:srgbClr val="FFC000"/>
              </a:solidFill>
              <a:ln w="19050">
                <a:noFill/>
              </a:ln>
              <a:effectLst/>
            </c:spPr>
            <c:extLst>
              <c:ext xmlns:c16="http://schemas.microsoft.com/office/drawing/2014/chart" uri="{C3380CC4-5D6E-409C-BE32-E72D297353CC}">
                <c16:uniqueId val="{0000000B-7450-40F3-81EC-554A9A193AEA}"/>
              </c:ext>
            </c:extLst>
          </c:dPt>
          <c:dPt>
            <c:idx val="6"/>
            <c:bubble3D val="0"/>
            <c:spPr>
              <a:solidFill>
                <a:srgbClr val="00B050"/>
              </a:solidFill>
              <a:ln w="19050">
                <a:noFill/>
              </a:ln>
              <a:effectLst/>
            </c:spPr>
            <c:extLst>
              <c:ext xmlns:c16="http://schemas.microsoft.com/office/drawing/2014/chart" uri="{C3380CC4-5D6E-409C-BE32-E72D297353CC}">
                <c16:uniqueId val="{0000000D-7450-40F3-81EC-554A9A193AEA}"/>
              </c:ext>
            </c:extLst>
          </c:dPt>
          <c:dPt>
            <c:idx val="7"/>
            <c:bubble3D val="0"/>
            <c:spPr>
              <a:noFill/>
              <a:ln w="19050">
                <a:noFill/>
              </a:ln>
              <a:effectLst/>
            </c:spPr>
            <c:extLst>
              <c:ext xmlns:c16="http://schemas.microsoft.com/office/drawing/2014/chart" uri="{C3380CC4-5D6E-409C-BE32-E72D297353CC}">
                <c16:uniqueId val="{0000000F-7450-40F3-81EC-554A9A193AEA}"/>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7450-40F3-81EC-554A9A193AEA}"/>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7450-40F3-81EC-554A9A193AEA}"/>
              </c:ext>
            </c:extLst>
          </c:dPt>
          <c:dPt>
            <c:idx val="1"/>
            <c:bubble3D val="0"/>
            <c:spPr>
              <a:solidFill>
                <a:schemeClr val="tx1"/>
              </a:solidFill>
              <a:ln w="19050">
                <a:noFill/>
              </a:ln>
              <a:effectLst/>
            </c:spPr>
            <c:extLst>
              <c:ext xmlns:c16="http://schemas.microsoft.com/office/drawing/2014/chart" uri="{C3380CC4-5D6E-409C-BE32-E72D297353CC}">
                <c16:uniqueId val="{00000014-7450-40F3-81EC-554A9A193AEA}"/>
              </c:ext>
            </c:extLst>
          </c:dPt>
          <c:dPt>
            <c:idx val="2"/>
            <c:bubble3D val="0"/>
            <c:spPr>
              <a:noFill/>
              <a:ln w="19050">
                <a:noFill/>
              </a:ln>
              <a:effectLst/>
            </c:spPr>
            <c:extLst>
              <c:ext xmlns:c16="http://schemas.microsoft.com/office/drawing/2014/chart" uri="{C3380CC4-5D6E-409C-BE32-E72D297353CC}">
                <c16:uniqueId val="{00000016-7450-40F3-81EC-554A9A193AEA}"/>
              </c:ext>
            </c:extLst>
          </c:dPt>
          <c:val>
            <c:numRef>
              <c:f>Reference!$B$76:$D$76</c:f>
              <c:numCache>
                <c:formatCode>General</c:formatCode>
                <c:ptCount val="3"/>
                <c:pt idx="0" formatCode="0%">
                  <c:v>1</c:v>
                </c:pt>
                <c:pt idx="1">
                  <c:v>0.03</c:v>
                </c:pt>
                <c:pt idx="2">
                  <c:v>0.97</c:v>
                </c:pt>
              </c:numCache>
            </c:numRef>
          </c:val>
          <c:extLst>
            <c:ext xmlns:c16="http://schemas.microsoft.com/office/drawing/2014/chart" uri="{C3380CC4-5D6E-409C-BE32-E72D297353CC}">
              <c16:uniqueId val="{00000017-7450-40F3-81EC-554A9A193AEA}"/>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9A91-4723-A793-EBA72E3A8FDA}"/>
              </c:ext>
            </c:extLst>
          </c:dPt>
          <c:dPt>
            <c:idx val="1"/>
            <c:bubble3D val="0"/>
            <c:spPr>
              <a:solidFill>
                <a:srgbClr val="FF0000"/>
              </a:solidFill>
              <a:ln w="19050">
                <a:noFill/>
              </a:ln>
              <a:effectLst/>
            </c:spPr>
            <c:extLst>
              <c:ext xmlns:c16="http://schemas.microsoft.com/office/drawing/2014/chart" uri="{C3380CC4-5D6E-409C-BE32-E72D297353CC}">
                <c16:uniqueId val="{00000003-9A91-4723-A793-EBA72E3A8FDA}"/>
              </c:ext>
            </c:extLst>
          </c:dPt>
          <c:dPt>
            <c:idx val="2"/>
            <c:bubble3D val="0"/>
            <c:spPr>
              <a:solidFill>
                <a:srgbClr val="FF0000"/>
              </a:solidFill>
              <a:ln w="19050">
                <a:noFill/>
              </a:ln>
              <a:effectLst/>
            </c:spPr>
            <c:extLst>
              <c:ext xmlns:c16="http://schemas.microsoft.com/office/drawing/2014/chart" uri="{C3380CC4-5D6E-409C-BE32-E72D297353CC}">
                <c16:uniqueId val="{00000005-9A91-4723-A793-EBA72E3A8FDA}"/>
              </c:ext>
            </c:extLst>
          </c:dPt>
          <c:dPt>
            <c:idx val="3"/>
            <c:bubble3D val="0"/>
            <c:spPr>
              <a:solidFill>
                <a:srgbClr val="FF0000"/>
              </a:solidFill>
              <a:ln w="19050">
                <a:noFill/>
              </a:ln>
              <a:effectLst/>
            </c:spPr>
            <c:extLst>
              <c:ext xmlns:c16="http://schemas.microsoft.com/office/drawing/2014/chart" uri="{C3380CC4-5D6E-409C-BE32-E72D297353CC}">
                <c16:uniqueId val="{00000007-9A91-4723-A793-EBA72E3A8FDA}"/>
              </c:ext>
            </c:extLst>
          </c:dPt>
          <c:dPt>
            <c:idx val="4"/>
            <c:bubble3D val="0"/>
            <c:spPr>
              <a:solidFill>
                <a:srgbClr val="FF0000"/>
              </a:solidFill>
              <a:ln w="19050">
                <a:noFill/>
              </a:ln>
              <a:effectLst/>
            </c:spPr>
            <c:extLst>
              <c:ext xmlns:c16="http://schemas.microsoft.com/office/drawing/2014/chart" uri="{C3380CC4-5D6E-409C-BE32-E72D297353CC}">
                <c16:uniqueId val="{00000009-9A91-4723-A793-EBA72E3A8FDA}"/>
              </c:ext>
            </c:extLst>
          </c:dPt>
          <c:dPt>
            <c:idx val="5"/>
            <c:bubble3D val="0"/>
            <c:spPr>
              <a:solidFill>
                <a:srgbClr val="FFC000"/>
              </a:solidFill>
              <a:ln w="19050">
                <a:noFill/>
              </a:ln>
              <a:effectLst/>
            </c:spPr>
            <c:extLst>
              <c:ext xmlns:c16="http://schemas.microsoft.com/office/drawing/2014/chart" uri="{C3380CC4-5D6E-409C-BE32-E72D297353CC}">
                <c16:uniqueId val="{0000000B-9A91-4723-A793-EBA72E3A8FDA}"/>
              </c:ext>
            </c:extLst>
          </c:dPt>
          <c:dPt>
            <c:idx val="6"/>
            <c:bubble3D val="0"/>
            <c:spPr>
              <a:solidFill>
                <a:srgbClr val="00B050"/>
              </a:solidFill>
              <a:ln w="19050">
                <a:noFill/>
              </a:ln>
              <a:effectLst/>
            </c:spPr>
            <c:extLst>
              <c:ext xmlns:c16="http://schemas.microsoft.com/office/drawing/2014/chart" uri="{C3380CC4-5D6E-409C-BE32-E72D297353CC}">
                <c16:uniqueId val="{0000000D-9A91-4723-A793-EBA72E3A8FDA}"/>
              </c:ext>
            </c:extLst>
          </c:dPt>
          <c:dPt>
            <c:idx val="7"/>
            <c:bubble3D val="0"/>
            <c:spPr>
              <a:noFill/>
              <a:ln w="19050">
                <a:noFill/>
              </a:ln>
              <a:effectLst/>
            </c:spPr>
            <c:extLst>
              <c:ext xmlns:c16="http://schemas.microsoft.com/office/drawing/2014/chart" uri="{C3380CC4-5D6E-409C-BE32-E72D297353CC}">
                <c16:uniqueId val="{0000000F-9A91-4723-A793-EBA72E3A8FDA}"/>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9A91-4723-A793-EBA72E3A8FDA}"/>
            </c:ext>
          </c:extLst>
        </c:ser>
        <c:dLbls>
          <c:showLegendKey val="0"/>
          <c:showVal val="0"/>
          <c:showCatName val="0"/>
          <c:showSerName val="0"/>
          <c:showPercent val="0"/>
          <c:showBubbleSize val="0"/>
          <c:showLeaderLines val="1"/>
        </c:dLbls>
        <c:firstSliceAng val="270"/>
        <c:holeSize val="40"/>
      </c:doughnutChart>
      <c:pieChart>
        <c:varyColors val="1"/>
        <c:ser>
          <c:idx val="1"/>
          <c:order val="1"/>
          <c:tx>
            <c:strRef>
              <c:f>Reference!$B$87:$D$87</c:f>
              <c:strCache>
                <c:ptCount val="3"/>
                <c:pt idx="0">
                  <c:v>100%</c:v>
                </c:pt>
                <c:pt idx="1">
                  <c:v>0.03</c:v>
                </c:pt>
                <c:pt idx="2">
                  <c:v>0.97</c:v>
                </c:pt>
              </c:strCache>
            </c:strRef>
          </c:tx>
          <c:spPr>
            <a:ln>
              <a:noFill/>
            </a:ln>
          </c:spPr>
          <c:dPt>
            <c:idx val="0"/>
            <c:bubble3D val="0"/>
            <c:spPr>
              <a:noFill/>
              <a:ln w="19050">
                <a:noFill/>
              </a:ln>
              <a:effectLst/>
            </c:spPr>
            <c:extLst>
              <c:ext xmlns:c16="http://schemas.microsoft.com/office/drawing/2014/chart" uri="{C3380CC4-5D6E-409C-BE32-E72D297353CC}">
                <c16:uniqueId val="{00000012-9A91-4723-A793-EBA72E3A8FDA}"/>
              </c:ext>
            </c:extLst>
          </c:dPt>
          <c:dPt>
            <c:idx val="1"/>
            <c:bubble3D val="0"/>
            <c:spPr>
              <a:solidFill>
                <a:schemeClr val="tx1"/>
              </a:solidFill>
              <a:ln w="19050">
                <a:noFill/>
              </a:ln>
              <a:effectLst/>
            </c:spPr>
            <c:extLst>
              <c:ext xmlns:c16="http://schemas.microsoft.com/office/drawing/2014/chart" uri="{C3380CC4-5D6E-409C-BE32-E72D297353CC}">
                <c16:uniqueId val="{00000014-9A91-4723-A793-EBA72E3A8FDA}"/>
              </c:ext>
            </c:extLst>
          </c:dPt>
          <c:dPt>
            <c:idx val="2"/>
            <c:bubble3D val="0"/>
            <c:spPr>
              <a:noFill/>
              <a:ln w="19050">
                <a:noFill/>
              </a:ln>
              <a:effectLst/>
            </c:spPr>
            <c:extLst>
              <c:ext xmlns:c16="http://schemas.microsoft.com/office/drawing/2014/chart" uri="{C3380CC4-5D6E-409C-BE32-E72D297353CC}">
                <c16:uniqueId val="{00000016-9A91-4723-A793-EBA72E3A8FDA}"/>
              </c:ext>
            </c:extLst>
          </c:dPt>
          <c:val>
            <c:numRef>
              <c:f>Reference!$J$28:$L$28</c:f>
              <c:numCache>
                <c:formatCode>General</c:formatCode>
                <c:ptCount val="3"/>
                <c:pt idx="0" formatCode="0%">
                  <c:v>0.218</c:v>
                </c:pt>
                <c:pt idx="1">
                  <c:v>7.0000000000000001E-3</c:v>
                </c:pt>
                <c:pt idx="2" formatCode="0.00">
                  <c:v>0.22500000000000001</c:v>
                </c:pt>
              </c:numCache>
            </c:numRef>
          </c:val>
          <c:extLst>
            <c:ext xmlns:c16="http://schemas.microsoft.com/office/drawing/2014/chart" uri="{C3380CC4-5D6E-409C-BE32-E72D297353CC}">
              <c16:uniqueId val="{00000017-9A91-4723-A793-EBA72E3A8FDA}"/>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6AFA-4B40-854B-1ED923DCFB57}"/>
              </c:ext>
            </c:extLst>
          </c:dPt>
          <c:dPt>
            <c:idx val="1"/>
            <c:bubble3D val="0"/>
            <c:spPr>
              <a:solidFill>
                <a:srgbClr val="FF0000"/>
              </a:solidFill>
              <a:ln w="19050">
                <a:noFill/>
              </a:ln>
              <a:effectLst/>
            </c:spPr>
            <c:extLst>
              <c:ext xmlns:c16="http://schemas.microsoft.com/office/drawing/2014/chart" uri="{C3380CC4-5D6E-409C-BE32-E72D297353CC}">
                <c16:uniqueId val="{00000003-6AFA-4B40-854B-1ED923DCFB57}"/>
              </c:ext>
            </c:extLst>
          </c:dPt>
          <c:dPt>
            <c:idx val="2"/>
            <c:bubble3D val="0"/>
            <c:spPr>
              <a:solidFill>
                <a:srgbClr val="FF0000"/>
              </a:solidFill>
              <a:ln w="19050">
                <a:noFill/>
              </a:ln>
              <a:effectLst/>
            </c:spPr>
            <c:extLst>
              <c:ext xmlns:c16="http://schemas.microsoft.com/office/drawing/2014/chart" uri="{C3380CC4-5D6E-409C-BE32-E72D297353CC}">
                <c16:uniqueId val="{00000005-6AFA-4B40-854B-1ED923DCFB57}"/>
              </c:ext>
            </c:extLst>
          </c:dPt>
          <c:dPt>
            <c:idx val="3"/>
            <c:bubble3D val="0"/>
            <c:spPr>
              <a:solidFill>
                <a:srgbClr val="FF0000"/>
              </a:solidFill>
              <a:ln w="19050">
                <a:noFill/>
              </a:ln>
              <a:effectLst/>
            </c:spPr>
            <c:extLst>
              <c:ext xmlns:c16="http://schemas.microsoft.com/office/drawing/2014/chart" uri="{C3380CC4-5D6E-409C-BE32-E72D297353CC}">
                <c16:uniqueId val="{00000007-6AFA-4B40-854B-1ED923DCFB57}"/>
              </c:ext>
            </c:extLst>
          </c:dPt>
          <c:dPt>
            <c:idx val="4"/>
            <c:bubble3D val="0"/>
            <c:spPr>
              <a:solidFill>
                <a:srgbClr val="FF0000"/>
              </a:solidFill>
              <a:ln w="19050">
                <a:noFill/>
              </a:ln>
              <a:effectLst/>
            </c:spPr>
            <c:extLst>
              <c:ext xmlns:c16="http://schemas.microsoft.com/office/drawing/2014/chart" uri="{C3380CC4-5D6E-409C-BE32-E72D297353CC}">
                <c16:uniqueId val="{00000009-6AFA-4B40-854B-1ED923DCFB57}"/>
              </c:ext>
            </c:extLst>
          </c:dPt>
          <c:dPt>
            <c:idx val="5"/>
            <c:bubble3D val="0"/>
            <c:spPr>
              <a:solidFill>
                <a:srgbClr val="FFC000"/>
              </a:solidFill>
              <a:ln w="19050">
                <a:noFill/>
              </a:ln>
              <a:effectLst/>
            </c:spPr>
            <c:extLst>
              <c:ext xmlns:c16="http://schemas.microsoft.com/office/drawing/2014/chart" uri="{C3380CC4-5D6E-409C-BE32-E72D297353CC}">
                <c16:uniqueId val="{0000000B-6AFA-4B40-854B-1ED923DCFB57}"/>
              </c:ext>
            </c:extLst>
          </c:dPt>
          <c:dPt>
            <c:idx val="6"/>
            <c:bubble3D val="0"/>
            <c:spPr>
              <a:solidFill>
                <a:srgbClr val="00B050"/>
              </a:solidFill>
              <a:ln w="19050">
                <a:noFill/>
              </a:ln>
              <a:effectLst/>
            </c:spPr>
            <c:extLst>
              <c:ext xmlns:c16="http://schemas.microsoft.com/office/drawing/2014/chart" uri="{C3380CC4-5D6E-409C-BE32-E72D297353CC}">
                <c16:uniqueId val="{0000000D-6AFA-4B40-854B-1ED923DCFB57}"/>
              </c:ext>
            </c:extLst>
          </c:dPt>
          <c:dPt>
            <c:idx val="7"/>
            <c:bubble3D val="0"/>
            <c:spPr>
              <a:noFill/>
              <a:ln w="19050">
                <a:noFill/>
              </a:ln>
              <a:effectLst/>
            </c:spPr>
            <c:extLst>
              <c:ext xmlns:c16="http://schemas.microsoft.com/office/drawing/2014/chart" uri="{C3380CC4-5D6E-409C-BE32-E72D297353CC}">
                <c16:uniqueId val="{0000000F-6AFA-4B40-854B-1ED923DCFB57}"/>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6AFA-4B40-854B-1ED923DCFB57}"/>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6AFA-4B40-854B-1ED923DCFB57}"/>
              </c:ext>
            </c:extLst>
          </c:dPt>
          <c:dPt>
            <c:idx val="1"/>
            <c:bubble3D val="0"/>
            <c:spPr>
              <a:solidFill>
                <a:schemeClr val="tx1"/>
              </a:solidFill>
              <a:ln w="19050">
                <a:noFill/>
              </a:ln>
              <a:effectLst/>
            </c:spPr>
            <c:extLst>
              <c:ext xmlns:c16="http://schemas.microsoft.com/office/drawing/2014/chart" uri="{C3380CC4-5D6E-409C-BE32-E72D297353CC}">
                <c16:uniqueId val="{00000014-6AFA-4B40-854B-1ED923DCFB57}"/>
              </c:ext>
            </c:extLst>
          </c:dPt>
          <c:dPt>
            <c:idx val="2"/>
            <c:bubble3D val="0"/>
            <c:spPr>
              <a:noFill/>
              <a:ln w="19050">
                <a:noFill/>
              </a:ln>
              <a:effectLst/>
            </c:spPr>
            <c:extLst>
              <c:ext xmlns:c16="http://schemas.microsoft.com/office/drawing/2014/chart" uri="{C3380CC4-5D6E-409C-BE32-E72D297353CC}">
                <c16:uniqueId val="{00000016-6AFA-4B40-854B-1ED923DCFB57}"/>
              </c:ext>
            </c:extLst>
          </c:dPt>
          <c:val>
            <c:numRef>
              <c:f>Reference!$B$97:$D$97</c:f>
              <c:numCache>
                <c:formatCode>General</c:formatCode>
                <c:ptCount val="3"/>
                <c:pt idx="0" formatCode="0%">
                  <c:v>1</c:v>
                </c:pt>
                <c:pt idx="1">
                  <c:v>0.03</c:v>
                </c:pt>
                <c:pt idx="2">
                  <c:v>0.97</c:v>
                </c:pt>
              </c:numCache>
            </c:numRef>
          </c:val>
          <c:extLst>
            <c:ext xmlns:c16="http://schemas.microsoft.com/office/drawing/2014/chart" uri="{C3380CC4-5D6E-409C-BE32-E72D297353CC}">
              <c16:uniqueId val="{00000017-6AFA-4B40-854B-1ED923DCFB57}"/>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7BF7-44F8-9C20-837D5D8873E4}"/>
              </c:ext>
            </c:extLst>
          </c:dPt>
          <c:dPt>
            <c:idx val="1"/>
            <c:bubble3D val="0"/>
            <c:spPr>
              <a:solidFill>
                <a:srgbClr val="FF0000"/>
              </a:solidFill>
              <a:ln w="19050">
                <a:noFill/>
              </a:ln>
              <a:effectLst/>
            </c:spPr>
            <c:extLst>
              <c:ext xmlns:c16="http://schemas.microsoft.com/office/drawing/2014/chart" uri="{C3380CC4-5D6E-409C-BE32-E72D297353CC}">
                <c16:uniqueId val="{00000003-7BF7-44F8-9C20-837D5D8873E4}"/>
              </c:ext>
            </c:extLst>
          </c:dPt>
          <c:dPt>
            <c:idx val="2"/>
            <c:bubble3D val="0"/>
            <c:spPr>
              <a:solidFill>
                <a:srgbClr val="FF0000"/>
              </a:solidFill>
              <a:ln w="19050">
                <a:noFill/>
              </a:ln>
              <a:effectLst/>
            </c:spPr>
            <c:extLst>
              <c:ext xmlns:c16="http://schemas.microsoft.com/office/drawing/2014/chart" uri="{C3380CC4-5D6E-409C-BE32-E72D297353CC}">
                <c16:uniqueId val="{00000005-7BF7-44F8-9C20-837D5D8873E4}"/>
              </c:ext>
            </c:extLst>
          </c:dPt>
          <c:dPt>
            <c:idx val="3"/>
            <c:bubble3D val="0"/>
            <c:spPr>
              <a:solidFill>
                <a:srgbClr val="FF0000"/>
              </a:solidFill>
              <a:ln w="19050">
                <a:noFill/>
              </a:ln>
              <a:effectLst/>
            </c:spPr>
            <c:extLst>
              <c:ext xmlns:c16="http://schemas.microsoft.com/office/drawing/2014/chart" uri="{C3380CC4-5D6E-409C-BE32-E72D297353CC}">
                <c16:uniqueId val="{00000007-7BF7-44F8-9C20-837D5D8873E4}"/>
              </c:ext>
            </c:extLst>
          </c:dPt>
          <c:dPt>
            <c:idx val="4"/>
            <c:bubble3D val="0"/>
            <c:spPr>
              <a:solidFill>
                <a:srgbClr val="FF0000"/>
              </a:solidFill>
              <a:ln w="19050">
                <a:noFill/>
              </a:ln>
              <a:effectLst/>
            </c:spPr>
            <c:extLst>
              <c:ext xmlns:c16="http://schemas.microsoft.com/office/drawing/2014/chart" uri="{C3380CC4-5D6E-409C-BE32-E72D297353CC}">
                <c16:uniqueId val="{00000009-7BF7-44F8-9C20-837D5D8873E4}"/>
              </c:ext>
            </c:extLst>
          </c:dPt>
          <c:dPt>
            <c:idx val="5"/>
            <c:bubble3D val="0"/>
            <c:spPr>
              <a:solidFill>
                <a:srgbClr val="FFC000"/>
              </a:solidFill>
              <a:ln w="19050">
                <a:noFill/>
              </a:ln>
              <a:effectLst/>
            </c:spPr>
            <c:extLst>
              <c:ext xmlns:c16="http://schemas.microsoft.com/office/drawing/2014/chart" uri="{C3380CC4-5D6E-409C-BE32-E72D297353CC}">
                <c16:uniqueId val="{0000000B-7BF7-44F8-9C20-837D5D8873E4}"/>
              </c:ext>
            </c:extLst>
          </c:dPt>
          <c:dPt>
            <c:idx val="6"/>
            <c:bubble3D val="0"/>
            <c:spPr>
              <a:solidFill>
                <a:srgbClr val="00B050"/>
              </a:solidFill>
              <a:ln w="19050">
                <a:noFill/>
              </a:ln>
              <a:effectLst/>
            </c:spPr>
            <c:extLst>
              <c:ext xmlns:c16="http://schemas.microsoft.com/office/drawing/2014/chart" uri="{C3380CC4-5D6E-409C-BE32-E72D297353CC}">
                <c16:uniqueId val="{0000000D-7BF7-44F8-9C20-837D5D8873E4}"/>
              </c:ext>
            </c:extLst>
          </c:dPt>
          <c:dPt>
            <c:idx val="7"/>
            <c:bubble3D val="0"/>
            <c:spPr>
              <a:noFill/>
              <a:ln w="19050">
                <a:noFill/>
              </a:ln>
              <a:effectLst/>
            </c:spPr>
            <c:extLst>
              <c:ext xmlns:c16="http://schemas.microsoft.com/office/drawing/2014/chart" uri="{C3380CC4-5D6E-409C-BE32-E72D297353CC}">
                <c16:uniqueId val="{0000000F-7BF7-44F8-9C20-837D5D8873E4}"/>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7BF7-44F8-9C20-837D5D8873E4}"/>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7BF7-44F8-9C20-837D5D8873E4}"/>
              </c:ext>
            </c:extLst>
          </c:dPt>
          <c:dPt>
            <c:idx val="1"/>
            <c:bubble3D val="0"/>
            <c:spPr>
              <a:solidFill>
                <a:schemeClr val="tx1"/>
              </a:solidFill>
              <a:ln w="19050">
                <a:noFill/>
              </a:ln>
              <a:effectLst/>
            </c:spPr>
            <c:extLst>
              <c:ext xmlns:c16="http://schemas.microsoft.com/office/drawing/2014/chart" uri="{C3380CC4-5D6E-409C-BE32-E72D297353CC}">
                <c16:uniqueId val="{00000014-7BF7-44F8-9C20-837D5D8873E4}"/>
              </c:ext>
            </c:extLst>
          </c:dPt>
          <c:dPt>
            <c:idx val="2"/>
            <c:bubble3D val="0"/>
            <c:spPr>
              <a:noFill/>
              <a:ln w="19050">
                <a:noFill/>
              </a:ln>
              <a:effectLst/>
            </c:spPr>
            <c:extLst>
              <c:ext xmlns:c16="http://schemas.microsoft.com/office/drawing/2014/chart" uri="{C3380CC4-5D6E-409C-BE32-E72D297353CC}">
                <c16:uniqueId val="{00000016-7BF7-44F8-9C20-837D5D8873E4}"/>
              </c:ext>
            </c:extLst>
          </c:dPt>
          <c:val>
            <c:numRef>
              <c:f>Reference!$B$106:$D$106</c:f>
              <c:numCache>
                <c:formatCode>General</c:formatCode>
                <c:ptCount val="3"/>
                <c:pt idx="0" formatCode="0%">
                  <c:v>1</c:v>
                </c:pt>
                <c:pt idx="1">
                  <c:v>0.03</c:v>
                </c:pt>
                <c:pt idx="2">
                  <c:v>0.97</c:v>
                </c:pt>
              </c:numCache>
            </c:numRef>
          </c:val>
          <c:extLst>
            <c:ext xmlns:c16="http://schemas.microsoft.com/office/drawing/2014/chart" uri="{C3380CC4-5D6E-409C-BE32-E72D297353CC}">
              <c16:uniqueId val="{00000017-7BF7-44F8-9C20-837D5D8873E4}"/>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8219-4639-A862-8267849A03BB}"/>
              </c:ext>
            </c:extLst>
          </c:dPt>
          <c:dPt>
            <c:idx val="1"/>
            <c:bubble3D val="0"/>
            <c:spPr>
              <a:solidFill>
                <a:srgbClr val="FF0000"/>
              </a:solidFill>
              <a:ln w="19050">
                <a:noFill/>
              </a:ln>
              <a:effectLst/>
            </c:spPr>
            <c:extLst>
              <c:ext xmlns:c16="http://schemas.microsoft.com/office/drawing/2014/chart" uri="{C3380CC4-5D6E-409C-BE32-E72D297353CC}">
                <c16:uniqueId val="{00000003-8219-4639-A862-8267849A03BB}"/>
              </c:ext>
            </c:extLst>
          </c:dPt>
          <c:dPt>
            <c:idx val="2"/>
            <c:bubble3D val="0"/>
            <c:spPr>
              <a:solidFill>
                <a:srgbClr val="FF0000"/>
              </a:solidFill>
              <a:ln w="19050">
                <a:noFill/>
              </a:ln>
              <a:effectLst/>
            </c:spPr>
            <c:extLst>
              <c:ext xmlns:c16="http://schemas.microsoft.com/office/drawing/2014/chart" uri="{C3380CC4-5D6E-409C-BE32-E72D297353CC}">
                <c16:uniqueId val="{00000005-8219-4639-A862-8267849A03BB}"/>
              </c:ext>
            </c:extLst>
          </c:dPt>
          <c:dPt>
            <c:idx val="3"/>
            <c:bubble3D val="0"/>
            <c:spPr>
              <a:solidFill>
                <a:srgbClr val="FF0000"/>
              </a:solidFill>
              <a:ln w="19050">
                <a:noFill/>
              </a:ln>
              <a:effectLst/>
            </c:spPr>
            <c:extLst>
              <c:ext xmlns:c16="http://schemas.microsoft.com/office/drawing/2014/chart" uri="{C3380CC4-5D6E-409C-BE32-E72D297353CC}">
                <c16:uniqueId val="{00000007-8219-4639-A862-8267849A03BB}"/>
              </c:ext>
            </c:extLst>
          </c:dPt>
          <c:dPt>
            <c:idx val="4"/>
            <c:bubble3D val="0"/>
            <c:spPr>
              <a:solidFill>
                <a:srgbClr val="FF0000"/>
              </a:solidFill>
              <a:ln w="19050">
                <a:noFill/>
              </a:ln>
              <a:effectLst/>
            </c:spPr>
            <c:extLst>
              <c:ext xmlns:c16="http://schemas.microsoft.com/office/drawing/2014/chart" uri="{C3380CC4-5D6E-409C-BE32-E72D297353CC}">
                <c16:uniqueId val="{00000009-8219-4639-A862-8267849A03BB}"/>
              </c:ext>
            </c:extLst>
          </c:dPt>
          <c:dPt>
            <c:idx val="5"/>
            <c:bubble3D val="0"/>
            <c:spPr>
              <a:solidFill>
                <a:srgbClr val="FFC000"/>
              </a:solidFill>
              <a:ln w="19050">
                <a:noFill/>
              </a:ln>
              <a:effectLst/>
            </c:spPr>
            <c:extLst>
              <c:ext xmlns:c16="http://schemas.microsoft.com/office/drawing/2014/chart" uri="{C3380CC4-5D6E-409C-BE32-E72D297353CC}">
                <c16:uniqueId val="{0000000B-8219-4639-A862-8267849A03BB}"/>
              </c:ext>
            </c:extLst>
          </c:dPt>
          <c:dPt>
            <c:idx val="6"/>
            <c:bubble3D val="0"/>
            <c:spPr>
              <a:solidFill>
                <a:srgbClr val="00B050"/>
              </a:solidFill>
              <a:ln w="19050">
                <a:noFill/>
              </a:ln>
              <a:effectLst/>
            </c:spPr>
            <c:extLst>
              <c:ext xmlns:c16="http://schemas.microsoft.com/office/drawing/2014/chart" uri="{C3380CC4-5D6E-409C-BE32-E72D297353CC}">
                <c16:uniqueId val="{0000000D-8219-4639-A862-8267849A03BB}"/>
              </c:ext>
            </c:extLst>
          </c:dPt>
          <c:dPt>
            <c:idx val="7"/>
            <c:bubble3D val="0"/>
            <c:spPr>
              <a:noFill/>
              <a:ln w="19050">
                <a:noFill/>
              </a:ln>
              <a:effectLst/>
            </c:spPr>
            <c:extLst>
              <c:ext xmlns:c16="http://schemas.microsoft.com/office/drawing/2014/chart" uri="{C3380CC4-5D6E-409C-BE32-E72D297353CC}">
                <c16:uniqueId val="{0000000F-8219-4639-A862-8267849A03BB}"/>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8219-4639-A862-8267849A03BB}"/>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8219-4639-A862-8267849A03BB}"/>
              </c:ext>
            </c:extLst>
          </c:dPt>
          <c:dPt>
            <c:idx val="1"/>
            <c:bubble3D val="0"/>
            <c:spPr>
              <a:solidFill>
                <a:schemeClr val="tx1"/>
              </a:solidFill>
              <a:ln w="19050">
                <a:noFill/>
              </a:ln>
              <a:effectLst/>
            </c:spPr>
            <c:extLst>
              <c:ext xmlns:c16="http://schemas.microsoft.com/office/drawing/2014/chart" uri="{C3380CC4-5D6E-409C-BE32-E72D297353CC}">
                <c16:uniqueId val="{00000014-8219-4639-A862-8267849A03BB}"/>
              </c:ext>
            </c:extLst>
          </c:dPt>
          <c:dPt>
            <c:idx val="2"/>
            <c:bubble3D val="0"/>
            <c:spPr>
              <a:noFill/>
              <a:ln w="19050">
                <a:noFill/>
              </a:ln>
              <a:effectLst/>
            </c:spPr>
            <c:extLst>
              <c:ext xmlns:c16="http://schemas.microsoft.com/office/drawing/2014/chart" uri="{C3380CC4-5D6E-409C-BE32-E72D297353CC}">
                <c16:uniqueId val="{00000016-8219-4639-A862-8267849A03BB}"/>
              </c:ext>
            </c:extLst>
          </c:dPt>
          <c:val>
            <c:numRef>
              <c:f>Reference!$B$116:$D$116</c:f>
              <c:numCache>
                <c:formatCode>General</c:formatCode>
                <c:ptCount val="3"/>
                <c:pt idx="0" formatCode="0%">
                  <c:v>1</c:v>
                </c:pt>
                <c:pt idx="1">
                  <c:v>0.03</c:v>
                </c:pt>
                <c:pt idx="2">
                  <c:v>0.97</c:v>
                </c:pt>
              </c:numCache>
            </c:numRef>
          </c:val>
          <c:extLst>
            <c:ext xmlns:c16="http://schemas.microsoft.com/office/drawing/2014/chart" uri="{C3380CC4-5D6E-409C-BE32-E72D297353CC}">
              <c16:uniqueId val="{00000017-8219-4639-A862-8267849A03BB}"/>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C2CC-4742-9F07-72F7B6972821}"/>
              </c:ext>
            </c:extLst>
          </c:dPt>
          <c:dPt>
            <c:idx val="1"/>
            <c:bubble3D val="0"/>
            <c:spPr>
              <a:solidFill>
                <a:srgbClr val="FF0000"/>
              </a:solidFill>
              <a:ln w="19050">
                <a:noFill/>
              </a:ln>
              <a:effectLst/>
            </c:spPr>
            <c:extLst>
              <c:ext xmlns:c16="http://schemas.microsoft.com/office/drawing/2014/chart" uri="{C3380CC4-5D6E-409C-BE32-E72D297353CC}">
                <c16:uniqueId val="{00000003-C2CC-4742-9F07-72F7B6972821}"/>
              </c:ext>
            </c:extLst>
          </c:dPt>
          <c:dPt>
            <c:idx val="2"/>
            <c:bubble3D val="0"/>
            <c:spPr>
              <a:solidFill>
                <a:srgbClr val="FF0000"/>
              </a:solidFill>
              <a:ln w="19050">
                <a:noFill/>
              </a:ln>
              <a:effectLst/>
            </c:spPr>
            <c:extLst>
              <c:ext xmlns:c16="http://schemas.microsoft.com/office/drawing/2014/chart" uri="{C3380CC4-5D6E-409C-BE32-E72D297353CC}">
                <c16:uniqueId val="{00000005-C2CC-4742-9F07-72F7B6972821}"/>
              </c:ext>
            </c:extLst>
          </c:dPt>
          <c:dPt>
            <c:idx val="3"/>
            <c:bubble3D val="0"/>
            <c:spPr>
              <a:solidFill>
                <a:srgbClr val="FF0000"/>
              </a:solidFill>
              <a:ln w="19050">
                <a:noFill/>
              </a:ln>
              <a:effectLst/>
            </c:spPr>
            <c:extLst>
              <c:ext xmlns:c16="http://schemas.microsoft.com/office/drawing/2014/chart" uri="{C3380CC4-5D6E-409C-BE32-E72D297353CC}">
                <c16:uniqueId val="{00000007-C2CC-4742-9F07-72F7B6972821}"/>
              </c:ext>
            </c:extLst>
          </c:dPt>
          <c:dPt>
            <c:idx val="4"/>
            <c:bubble3D val="0"/>
            <c:spPr>
              <a:solidFill>
                <a:srgbClr val="FFC000"/>
              </a:solidFill>
              <a:ln w="19050">
                <a:noFill/>
              </a:ln>
              <a:effectLst/>
            </c:spPr>
            <c:extLst>
              <c:ext xmlns:c16="http://schemas.microsoft.com/office/drawing/2014/chart" uri="{C3380CC4-5D6E-409C-BE32-E72D297353CC}">
                <c16:uniqueId val="{00000009-C2CC-4742-9F07-72F7B6972821}"/>
              </c:ext>
            </c:extLst>
          </c:dPt>
          <c:dPt>
            <c:idx val="5"/>
            <c:bubble3D val="0"/>
            <c:spPr>
              <a:solidFill>
                <a:srgbClr val="00B050"/>
              </a:solidFill>
              <a:ln w="19050">
                <a:noFill/>
              </a:ln>
              <a:effectLst/>
            </c:spPr>
            <c:extLst>
              <c:ext xmlns:c16="http://schemas.microsoft.com/office/drawing/2014/chart" uri="{C3380CC4-5D6E-409C-BE32-E72D297353CC}">
                <c16:uniqueId val="{0000000B-C2CC-4742-9F07-72F7B6972821}"/>
              </c:ext>
            </c:extLst>
          </c:dPt>
          <c:dPt>
            <c:idx val="6"/>
            <c:bubble3D val="0"/>
            <c:spPr>
              <a:noFill/>
              <a:ln w="19050">
                <a:noFill/>
              </a:ln>
              <a:effectLst/>
            </c:spPr>
            <c:extLst>
              <c:ext xmlns:c16="http://schemas.microsoft.com/office/drawing/2014/chart" uri="{C3380CC4-5D6E-409C-BE32-E72D297353CC}">
                <c16:uniqueId val="{0000000D-C2CC-4742-9F07-72F7B6972821}"/>
              </c:ext>
            </c:extLst>
          </c:dPt>
          <c:val>
            <c:numLit>
              <c:formatCode>General</c:formatCode>
              <c:ptCount val="7"/>
              <c:pt idx="0">
                <c:v>1</c:v>
              </c:pt>
              <c:pt idx="1">
                <c:v>1</c:v>
              </c:pt>
              <c:pt idx="2">
                <c:v>1</c:v>
              </c:pt>
              <c:pt idx="3">
                <c:v>1</c:v>
              </c:pt>
              <c:pt idx="4">
                <c:v>1</c:v>
              </c:pt>
              <c:pt idx="5">
                <c:v>1</c:v>
              </c:pt>
              <c:pt idx="6">
                <c:v>6</c:v>
              </c:pt>
            </c:numLit>
          </c:val>
          <c:extLst>
            <c:ext xmlns:c16="http://schemas.microsoft.com/office/drawing/2014/chart" uri="{C3380CC4-5D6E-409C-BE32-E72D297353CC}">
              <c16:uniqueId val="{0000000E-C2CC-4742-9F07-72F7B6972821}"/>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0-C2CC-4742-9F07-72F7B6972821}"/>
              </c:ext>
            </c:extLst>
          </c:dPt>
          <c:dPt>
            <c:idx val="1"/>
            <c:bubble3D val="0"/>
            <c:spPr>
              <a:solidFill>
                <a:schemeClr val="tx1"/>
              </a:solidFill>
              <a:ln w="19050">
                <a:noFill/>
              </a:ln>
              <a:effectLst/>
            </c:spPr>
            <c:extLst>
              <c:ext xmlns:c16="http://schemas.microsoft.com/office/drawing/2014/chart" uri="{C3380CC4-5D6E-409C-BE32-E72D297353CC}">
                <c16:uniqueId val="{00000012-C2CC-4742-9F07-72F7B6972821}"/>
              </c:ext>
            </c:extLst>
          </c:dPt>
          <c:dPt>
            <c:idx val="2"/>
            <c:bubble3D val="0"/>
            <c:spPr>
              <a:noFill/>
              <a:ln w="19050">
                <a:noFill/>
              </a:ln>
              <a:effectLst/>
            </c:spPr>
            <c:extLst>
              <c:ext xmlns:c16="http://schemas.microsoft.com/office/drawing/2014/chart" uri="{C3380CC4-5D6E-409C-BE32-E72D297353CC}">
                <c16:uniqueId val="{00000014-C2CC-4742-9F07-72F7B6972821}"/>
              </c:ext>
            </c:extLst>
          </c:dPt>
          <c:val>
            <c:numRef>
              <c:f>Reference!$B$9:$D$9</c:f>
              <c:numCache>
                <c:formatCode>General</c:formatCode>
                <c:ptCount val="3"/>
                <c:pt idx="0" formatCode="0%">
                  <c:v>1</c:v>
                </c:pt>
                <c:pt idx="1">
                  <c:v>0.03</c:v>
                </c:pt>
                <c:pt idx="2">
                  <c:v>0.97</c:v>
                </c:pt>
              </c:numCache>
            </c:numRef>
          </c:val>
          <c:extLst>
            <c:ext xmlns:c16="http://schemas.microsoft.com/office/drawing/2014/chart" uri="{C3380CC4-5D6E-409C-BE32-E72D297353CC}">
              <c16:uniqueId val="{00000015-C2CC-4742-9F07-72F7B6972821}"/>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0458-4892-8EFE-E6239A30926C}"/>
              </c:ext>
            </c:extLst>
          </c:dPt>
          <c:dPt>
            <c:idx val="1"/>
            <c:bubble3D val="0"/>
            <c:spPr>
              <a:solidFill>
                <a:srgbClr val="FF0000"/>
              </a:solidFill>
              <a:ln w="19050">
                <a:noFill/>
              </a:ln>
              <a:effectLst/>
            </c:spPr>
            <c:extLst>
              <c:ext xmlns:c16="http://schemas.microsoft.com/office/drawing/2014/chart" uri="{C3380CC4-5D6E-409C-BE32-E72D297353CC}">
                <c16:uniqueId val="{00000003-0458-4892-8EFE-E6239A30926C}"/>
              </c:ext>
            </c:extLst>
          </c:dPt>
          <c:dPt>
            <c:idx val="2"/>
            <c:bubble3D val="0"/>
            <c:spPr>
              <a:solidFill>
                <a:srgbClr val="FF0000"/>
              </a:solidFill>
              <a:ln w="19050">
                <a:noFill/>
              </a:ln>
              <a:effectLst/>
            </c:spPr>
            <c:extLst>
              <c:ext xmlns:c16="http://schemas.microsoft.com/office/drawing/2014/chart" uri="{C3380CC4-5D6E-409C-BE32-E72D297353CC}">
                <c16:uniqueId val="{00000005-0458-4892-8EFE-E6239A30926C}"/>
              </c:ext>
            </c:extLst>
          </c:dPt>
          <c:dPt>
            <c:idx val="3"/>
            <c:bubble3D val="0"/>
            <c:spPr>
              <a:solidFill>
                <a:srgbClr val="FF0000"/>
              </a:solidFill>
              <a:ln w="19050">
                <a:noFill/>
              </a:ln>
              <a:effectLst/>
            </c:spPr>
            <c:extLst>
              <c:ext xmlns:c16="http://schemas.microsoft.com/office/drawing/2014/chart" uri="{C3380CC4-5D6E-409C-BE32-E72D297353CC}">
                <c16:uniqueId val="{00000007-0458-4892-8EFE-E6239A30926C}"/>
              </c:ext>
            </c:extLst>
          </c:dPt>
          <c:dPt>
            <c:idx val="4"/>
            <c:bubble3D val="0"/>
            <c:spPr>
              <a:solidFill>
                <a:srgbClr val="FF0000"/>
              </a:solidFill>
              <a:ln w="19050">
                <a:noFill/>
              </a:ln>
              <a:effectLst/>
            </c:spPr>
            <c:extLst>
              <c:ext xmlns:c16="http://schemas.microsoft.com/office/drawing/2014/chart" uri="{C3380CC4-5D6E-409C-BE32-E72D297353CC}">
                <c16:uniqueId val="{00000009-0458-4892-8EFE-E6239A30926C}"/>
              </c:ext>
            </c:extLst>
          </c:dPt>
          <c:dPt>
            <c:idx val="5"/>
            <c:bubble3D val="0"/>
            <c:spPr>
              <a:solidFill>
                <a:srgbClr val="FFC000"/>
              </a:solidFill>
              <a:ln w="19050">
                <a:noFill/>
              </a:ln>
              <a:effectLst/>
            </c:spPr>
            <c:extLst>
              <c:ext xmlns:c16="http://schemas.microsoft.com/office/drawing/2014/chart" uri="{C3380CC4-5D6E-409C-BE32-E72D297353CC}">
                <c16:uniqueId val="{0000000B-0458-4892-8EFE-E6239A30926C}"/>
              </c:ext>
            </c:extLst>
          </c:dPt>
          <c:dPt>
            <c:idx val="6"/>
            <c:bubble3D val="0"/>
            <c:spPr>
              <a:solidFill>
                <a:srgbClr val="00B050"/>
              </a:solidFill>
              <a:ln w="19050">
                <a:noFill/>
              </a:ln>
              <a:effectLst/>
            </c:spPr>
            <c:extLst>
              <c:ext xmlns:c16="http://schemas.microsoft.com/office/drawing/2014/chart" uri="{C3380CC4-5D6E-409C-BE32-E72D297353CC}">
                <c16:uniqueId val="{0000000D-0458-4892-8EFE-E6239A30926C}"/>
              </c:ext>
            </c:extLst>
          </c:dPt>
          <c:dPt>
            <c:idx val="7"/>
            <c:bubble3D val="0"/>
            <c:spPr>
              <a:noFill/>
              <a:ln w="19050">
                <a:noFill/>
              </a:ln>
              <a:effectLst/>
            </c:spPr>
            <c:extLst>
              <c:ext xmlns:c16="http://schemas.microsoft.com/office/drawing/2014/chart" uri="{C3380CC4-5D6E-409C-BE32-E72D297353CC}">
                <c16:uniqueId val="{0000000F-0458-4892-8EFE-E6239A30926C}"/>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0458-4892-8EFE-E6239A30926C}"/>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0458-4892-8EFE-E6239A30926C}"/>
              </c:ext>
            </c:extLst>
          </c:dPt>
          <c:dPt>
            <c:idx val="1"/>
            <c:bubble3D val="0"/>
            <c:spPr>
              <a:solidFill>
                <a:schemeClr val="tx1"/>
              </a:solidFill>
              <a:ln w="19050">
                <a:noFill/>
              </a:ln>
              <a:effectLst/>
            </c:spPr>
            <c:extLst>
              <c:ext xmlns:c16="http://schemas.microsoft.com/office/drawing/2014/chart" uri="{C3380CC4-5D6E-409C-BE32-E72D297353CC}">
                <c16:uniqueId val="{00000014-0458-4892-8EFE-E6239A30926C}"/>
              </c:ext>
            </c:extLst>
          </c:dPt>
          <c:dPt>
            <c:idx val="2"/>
            <c:bubble3D val="0"/>
            <c:spPr>
              <a:noFill/>
              <a:ln w="19050">
                <a:noFill/>
              </a:ln>
              <a:effectLst/>
            </c:spPr>
            <c:extLst>
              <c:ext xmlns:c16="http://schemas.microsoft.com/office/drawing/2014/chart" uri="{C3380CC4-5D6E-409C-BE32-E72D297353CC}">
                <c16:uniqueId val="{00000016-0458-4892-8EFE-E6239A30926C}"/>
              </c:ext>
            </c:extLst>
          </c:dPt>
          <c:val>
            <c:numRef>
              <c:f>Reference!$B$17:$D$17</c:f>
              <c:numCache>
                <c:formatCode>General</c:formatCode>
                <c:ptCount val="3"/>
                <c:pt idx="0" formatCode="0%">
                  <c:v>1</c:v>
                </c:pt>
                <c:pt idx="1">
                  <c:v>0.03</c:v>
                </c:pt>
                <c:pt idx="2">
                  <c:v>0.97</c:v>
                </c:pt>
              </c:numCache>
            </c:numRef>
          </c:val>
          <c:extLst>
            <c:ext xmlns:c16="http://schemas.microsoft.com/office/drawing/2014/chart" uri="{C3380CC4-5D6E-409C-BE32-E72D297353CC}">
              <c16:uniqueId val="{00000017-0458-4892-8EFE-E6239A30926C}"/>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5F12-434F-AF58-B6741FCFACC2}"/>
              </c:ext>
            </c:extLst>
          </c:dPt>
          <c:dPt>
            <c:idx val="1"/>
            <c:bubble3D val="0"/>
            <c:spPr>
              <a:solidFill>
                <a:srgbClr val="FF0000"/>
              </a:solidFill>
              <a:ln w="19050">
                <a:noFill/>
              </a:ln>
              <a:effectLst/>
            </c:spPr>
            <c:extLst>
              <c:ext xmlns:c16="http://schemas.microsoft.com/office/drawing/2014/chart" uri="{C3380CC4-5D6E-409C-BE32-E72D297353CC}">
                <c16:uniqueId val="{00000003-5F12-434F-AF58-B6741FCFACC2}"/>
              </c:ext>
            </c:extLst>
          </c:dPt>
          <c:dPt>
            <c:idx val="2"/>
            <c:bubble3D val="0"/>
            <c:spPr>
              <a:solidFill>
                <a:srgbClr val="FF0000"/>
              </a:solidFill>
              <a:ln w="19050">
                <a:noFill/>
              </a:ln>
              <a:effectLst/>
            </c:spPr>
            <c:extLst>
              <c:ext xmlns:c16="http://schemas.microsoft.com/office/drawing/2014/chart" uri="{C3380CC4-5D6E-409C-BE32-E72D297353CC}">
                <c16:uniqueId val="{00000005-5F12-434F-AF58-B6741FCFACC2}"/>
              </c:ext>
            </c:extLst>
          </c:dPt>
          <c:dPt>
            <c:idx val="3"/>
            <c:bubble3D val="0"/>
            <c:spPr>
              <a:solidFill>
                <a:srgbClr val="FF0000"/>
              </a:solidFill>
              <a:ln w="19050">
                <a:noFill/>
              </a:ln>
              <a:effectLst/>
            </c:spPr>
            <c:extLst>
              <c:ext xmlns:c16="http://schemas.microsoft.com/office/drawing/2014/chart" uri="{C3380CC4-5D6E-409C-BE32-E72D297353CC}">
                <c16:uniqueId val="{00000007-5F12-434F-AF58-B6741FCFACC2}"/>
              </c:ext>
            </c:extLst>
          </c:dPt>
          <c:dPt>
            <c:idx val="4"/>
            <c:bubble3D val="0"/>
            <c:spPr>
              <a:solidFill>
                <a:srgbClr val="FF0000"/>
              </a:solidFill>
              <a:ln w="19050">
                <a:noFill/>
              </a:ln>
              <a:effectLst/>
            </c:spPr>
            <c:extLst>
              <c:ext xmlns:c16="http://schemas.microsoft.com/office/drawing/2014/chart" uri="{C3380CC4-5D6E-409C-BE32-E72D297353CC}">
                <c16:uniqueId val="{00000009-5F12-434F-AF58-B6741FCFACC2}"/>
              </c:ext>
            </c:extLst>
          </c:dPt>
          <c:dPt>
            <c:idx val="5"/>
            <c:bubble3D val="0"/>
            <c:spPr>
              <a:solidFill>
                <a:srgbClr val="FFC000"/>
              </a:solidFill>
              <a:ln w="19050">
                <a:noFill/>
              </a:ln>
              <a:effectLst/>
            </c:spPr>
            <c:extLst>
              <c:ext xmlns:c16="http://schemas.microsoft.com/office/drawing/2014/chart" uri="{C3380CC4-5D6E-409C-BE32-E72D297353CC}">
                <c16:uniqueId val="{0000000B-5F12-434F-AF58-B6741FCFACC2}"/>
              </c:ext>
            </c:extLst>
          </c:dPt>
          <c:dPt>
            <c:idx val="6"/>
            <c:bubble3D val="0"/>
            <c:spPr>
              <a:solidFill>
                <a:srgbClr val="00B050"/>
              </a:solidFill>
              <a:ln w="19050">
                <a:noFill/>
              </a:ln>
              <a:effectLst/>
            </c:spPr>
            <c:extLst>
              <c:ext xmlns:c16="http://schemas.microsoft.com/office/drawing/2014/chart" uri="{C3380CC4-5D6E-409C-BE32-E72D297353CC}">
                <c16:uniqueId val="{0000000D-5F12-434F-AF58-B6741FCFACC2}"/>
              </c:ext>
            </c:extLst>
          </c:dPt>
          <c:dPt>
            <c:idx val="7"/>
            <c:bubble3D val="0"/>
            <c:spPr>
              <a:noFill/>
              <a:ln w="19050">
                <a:noFill/>
              </a:ln>
              <a:effectLst/>
            </c:spPr>
            <c:extLst>
              <c:ext xmlns:c16="http://schemas.microsoft.com/office/drawing/2014/chart" uri="{C3380CC4-5D6E-409C-BE32-E72D297353CC}">
                <c16:uniqueId val="{0000000F-5F12-434F-AF58-B6741FCFACC2}"/>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5F12-434F-AF58-B6741FCFACC2}"/>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5F12-434F-AF58-B6741FCFACC2}"/>
              </c:ext>
            </c:extLst>
          </c:dPt>
          <c:dPt>
            <c:idx val="1"/>
            <c:bubble3D val="0"/>
            <c:spPr>
              <a:solidFill>
                <a:schemeClr val="tx1"/>
              </a:solidFill>
              <a:ln w="19050">
                <a:noFill/>
              </a:ln>
              <a:effectLst/>
            </c:spPr>
            <c:extLst>
              <c:ext xmlns:c16="http://schemas.microsoft.com/office/drawing/2014/chart" uri="{C3380CC4-5D6E-409C-BE32-E72D297353CC}">
                <c16:uniqueId val="{00000014-5F12-434F-AF58-B6741FCFACC2}"/>
              </c:ext>
            </c:extLst>
          </c:dPt>
          <c:dPt>
            <c:idx val="2"/>
            <c:bubble3D val="0"/>
            <c:spPr>
              <a:noFill/>
              <a:ln w="19050">
                <a:noFill/>
              </a:ln>
              <a:effectLst/>
            </c:spPr>
            <c:extLst>
              <c:ext xmlns:c16="http://schemas.microsoft.com/office/drawing/2014/chart" uri="{C3380CC4-5D6E-409C-BE32-E72D297353CC}">
                <c16:uniqueId val="{00000016-5F12-434F-AF58-B6741FCFACC2}"/>
              </c:ext>
            </c:extLst>
          </c:dPt>
          <c:val>
            <c:numRef>
              <c:f>Reference!$B$28:$D$28</c:f>
              <c:numCache>
                <c:formatCode>General</c:formatCode>
                <c:ptCount val="3"/>
                <c:pt idx="0" formatCode="0%">
                  <c:v>1</c:v>
                </c:pt>
                <c:pt idx="1">
                  <c:v>0.03</c:v>
                </c:pt>
                <c:pt idx="2">
                  <c:v>0.97</c:v>
                </c:pt>
              </c:numCache>
            </c:numRef>
          </c:val>
          <c:extLst>
            <c:ext xmlns:c16="http://schemas.microsoft.com/office/drawing/2014/chart" uri="{C3380CC4-5D6E-409C-BE32-E72D297353CC}">
              <c16:uniqueId val="{00000017-5F12-434F-AF58-B6741FCFACC2}"/>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9E4A-4A79-BFAE-29D60C49F9B5}"/>
              </c:ext>
            </c:extLst>
          </c:dPt>
          <c:dPt>
            <c:idx val="1"/>
            <c:bubble3D val="0"/>
            <c:spPr>
              <a:solidFill>
                <a:srgbClr val="FF0000"/>
              </a:solidFill>
              <a:ln w="19050">
                <a:noFill/>
              </a:ln>
              <a:effectLst/>
            </c:spPr>
            <c:extLst>
              <c:ext xmlns:c16="http://schemas.microsoft.com/office/drawing/2014/chart" uri="{C3380CC4-5D6E-409C-BE32-E72D297353CC}">
                <c16:uniqueId val="{00000003-9E4A-4A79-BFAE-29D60C49F9B5}"/>
              </c:ext>
            </c:extLst>
          </c:dPt>
          <c:dPt>
            <c:idx val="2"/>
            <c:bubble3D val="0"/>
            <c:spPr>
              <a:solidFill>
                <a:srgbClr val="FF0000"/>
              </a:solidFill>
              <a:ln w="19050">
                <a:noFill/>
              </a:ln>
              <a:effectLst/>
            </c:spPr>
            <c:extLst>
              <c:ext xmlns:c16="http://schemas.microsoft.com/office/drawing/2014/chart" uri="{C3380CC4-5D6E-409C-BE32-E72D297353CC}">
                <c16:uniqueId val="{00000005-9E4A-4A79-BFAE-29D60C49F9B5}"/>
              </c:ext>
            </c:extLst>
          </c:dPt>
          <c:dPt>
            <c:idx val="3"/>
            <c:bubble3D val="0"/>
            <c:spPr>
              <a:solidFill>
                <a:srgbClr val="FF0000"/>
              </a:solidFill>
              <a:ln w="19050">
                <a:noFill/>
              </a:ln>
              <a:effectLst/>
            </c:spPr>
            <c:extLst>
              <c:ext xmlns:c16="http://schemas.microsoft.com/office/drawing/2014/chart" uri="{C3380CC4-5D6E-409C-BE32-E72D297353CC}">
                <c16:uniqueId val="{00000007-9E4A-4A79-BFAE-29D60C49F9B5}"/>
              </c:ext>
            </c:extLst>
          </c:dPt>
          <c:dPt>
            <c:idx val="4"/>
            <c:bubble3D val="0"/>
            <c:spPr>
              <a:solidFill>
                <a:srgbClr val="FF0000"/>
              </a:solidFill>
              <a:ln w="19050">
                <a:noFill/>
              </a:ln>
              <a:effectLst/>
            </c:spPr>
            <c:extLst>
              <c:ext xmlns:c16="http://schemas.microsoft.com/office/drawing/2014/chart" uri="{C3380CC4-5D6E-409C-BE32-E72D297353CC}">
                <c16:uniqueId val="{00000009-9E4A-4A79-BFAE-29D60C49F9B5}"/>
              </c:ext>
            </c:extLst>
          </c:dPt>
          <c:dPt>
            <c:idx val="5"/>
            <c:bubble3D val="0"/>
            <c:spPr>
              <a:solidFill>
                <a:srgbClr val="FFC000"/>
              </a:solidFill>
              <a:ln w="19050">
                <a:noFill/>
              </a:ln>
              <a:effectLst/>
            </c:spPr>
            <c:extLst>
              <c:ext xmlns:c16="http://schemas.microsoft.com/office/drawing/2014/chart" uri="{C3380CC4-5D6E-409C-BE32-E72D297353CC}">
                <c16:uniqueId val="{0000000B-9E4A-4A79-BFAE-29D60C49F9B5}"/>
              </c:ext>
            </c:extLst>
          </c:dPt>
          <c:dPt>
            <c:idx val="6"/>
            <c:bubble3D val="0"/>
            <c:spPr>
              <a:solidFill>
                <a:srgbClr val="00B050"/>
              </a:solidFill>
              <a:ln w="19050">
                <a:noFill/>
              </a:ln>
              <a:effectLst/>
            </c:spPr>
            <c:extLst>
              <c:ext xmlns:c16="http://schemas.microsoft.com/office/drawing/2014/chart" uri="{C3380CC4-5D6E-409C-BE32-E72D297353CC}">
                <c16:uniqueId val="{0000000D-9E4A-4A79-BFAE-29D60C49F9B5}"/>
              </c:ext>
            </c:extLst>
          </c:dPt>
          <c:dPt>
            <c:idx val="7"/>
            <c:bubble3D val="0"/>
            <c:spPr>
              <a:noFill/>
              <a:ln w="19050">
                <a:noFill/>
              </a:ln>
              <a:effectLst/>
            </c:spPr>
            <c:extLst>
              <c:ext xmlns:c16="http://schemas.microsoft.com/office/drawing/2014/chart" uri="{C3380CC4-5D6E-409C-BE32-E72D297353CC}">
                <c16:uniqueId val="{0000000F-9E4A-4A79-BFAE-29D60C49F9B5}"/>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9E4A-4A79-BFAE-29D60C49F9B5}"/>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9E4A-4A79-BFAE-29D60C49F9B5}"/>
              </c:ext>
            </c:extLst>
          </c:dPt>
          <c:dPt>
            <c:idx val="1"/>
            <c:bubble3D val="0"/>
            <c:spPr>
              <a:solidFill>
                <a:schemeClr val="tx1"/>
              </a:solidFill>
              <a:ln w="19050">
                <a:noFill/>
              </a:ln>
              <a:effectLst/>
            </c:spPr>
            <c:extLst>
              <c:ext xmlns:c16="http://schemas.microsoft.com/office/drawing/2014/chart" uri="{C3380CC4-5D6E-409C-BE32-E72D297353CC}">
                <c16:uniqueId val="{00000014-9E4A-4A79-BFAE-29D60C49F9B5}"/>
              </c:ext>
            </c:extLst>
          </c:dPt>
          <c:dPt>
            <c:idx val="2"/>
            <c:bubble3D val="0"/>
            <c:spPr>
              <a:noFill/>
              <a:ln w="19050">
                <a:noFill/>
              </a:ln>
              <a:effectLst/>
            </c:spPr>
            <c:extLst>
              <c:ext xmlns:c16="http://schemas.microsoft.com/office/drawing/2014/chart" uri="{C3380CC4-5D6E-409C-BE32-E72D297353CC}">
                <c16:uniqueId val="{00000016-9E4A-4A79-BFAE-29D60C49F9B5}"/>
              </c:ext>
            </c:extLst>
          </c:dPt>
          <c:val>
            <c:numRef>
              <c:f>Reference!$B$38:$D$38</c:f>
              <c:numCache>
                <c:formatCode>General</c:formatCode>
                <c:ptCount val="3"/>
                <c:pt idx="0" formatCode="0%">
                  <c:v>1</c:v>
                </c:pt>
                <c:pt idx="1">
                  <c:v>0.03</c:v>
                </c:pt>
                <c:pt idx="2">
                  <c:v>0.97</c:v>
                </c:pt>
              </c:numCache>
            </c:numRef>
          </c:val>
          <c:extLst>
            <c:ext xmlns:c16="http://schemas.microsoft.com/office/drawing/2014/chart" uri="{C3380CC4-5D6E-409C-BE32-E72D297353CC}">
              <c16:uniqueId val="{00000017-9E4A-4A79-BFAE-29D60C49F9B5}"/>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F869-45EB-B8E7-606089EB67FD}"/>
              </c:ext>
            </c:extLst>
          </c:dPt>
          <c:dPt>
            <c:idx val="1"/>
            <c:bubble3D val="0"/>
            <c:spPr>
              <a:solidFill>
                <a:srgbClr val="FF0000"/>
              </a:solidFill>
              <a:ln w="19050">
                <a:noFill/>
              </a:ln>
              <a:effectLst/>
            </c:spPr>
            <c:extLst>
              <c:ext xmlns:c16="http://schemas.microsoft.com/office/drawing/2014/chart" uri="{C3380CC4-5D6E-409C-BE32-E72D297353CC}">
                <c16:uniqueId val="{00000003-F869-45EB-B8E7-606089EB67FD}"/>
              </c:ext>
            </c:extLst>
          </c:dPt>
          <c:dPt>
            <c:idx val="2"/>
            <c:bubble3D val="0"/>
            <c:spPr>
              <a:solidFill>
                <a:srgbClr val="FF0000"/>
              </a:solidFill>
              <a:ln w="19050">
                <a:noFill/>
              </a:ln>
              <a:effectLst/>
            </c:spPr>
            <c:extLst>
              <c:ext xmlns:c16="http://schemas.microsoft.com/office/drawing/2014/chart" uri="{C3380CC4-5D6E-409C-BE32-E72D297353CC}">
                <c16:uniqueId val="{00000005-F869-45EB-B8E7-606089EB67FD}"/>
              </c:ext>
            </c:extLst>
          </c:dPt>
          <c:dPt>
            <c:idx val="3"/>
            <c:bubble3D val="0"/>
            <c:spPr>
              <a:solidFill>
                <a:srgbClr val="FF0000"/>
              </a:solidFill>
              <a:ln w="19050">
                <a:noFill/>
              </a:ln>
              <a:effectLst/>
            </c:spPr>
            <c:extLst>
              <c:ext xmlns:c16="http://schemas.microsoft.com/office/drawing/2014/chart" uri="{C3380CC4-5D6E-409C-BE32-E72D297353CC}">
                <c16:uniqueId val="{00000007-F869-45EB-B8E7-606089EB67FD}"/>
              </c:ext>
            </c:extLst>
          </c:dPt>
          <c:dPt>
            <c:idx val="4"/>
            <c:bubble3D val="0"/>
            <c:spPr>
              <a:solidFill>
                <a:srgbClr val="FF0000"/>
              </a:solidFill>
              <a:ln w="19050">
                <a:noFill/>
              </a:ln>
              <a:effectLst/>
            </c:spPr>
            <c:extLst>
              <c:ext xmlns:c16="http://schemas.microsoft.com/office/drawing/2014/chart" uri="{C3380CC4-5D6E-409C-BE32-E72D297353CC}">
                <c16:uniqueId val="{00000009-F869-45EB-B8E7-606089EB67FD}"/>
              </c:ext>
            </c:extLst>
          </c:dPt>
          <c:dPt>
            <c:idx val="5"/>
            <c:bubble3D val="0"/>
            <c:spPr>
              <a:solidFill>
                <a:srgbClr val="FFC000"/>
              </a:solidFill>
              <a:ln w="19050">
                <a:noFill/>
              </a:ln>
              <a:effectLst/>
            </c:spPr>
            <c:extLst>
              <c:ext xmlns:c16="http://schemas.microsoft.com/office/drawing/2014/chart" uri="{C3380CC4-5D6E-409C-BE32-E72D297353CC}">
                <c16:uniqueId val="{0000000B-F869-45EB-B8E7-606089EB67FD}"/>
              </c:ext>
            </c:extLst>
          </c:dPt>
          <c:dPt>
            <c:idx val="6"/>
            <c:bubble3D val="0"/>
            <c:spPr>
              <a:solidFill>
                <a:srgbClr val="00B050"/>
              </a:solidFill>
              <a:ln w="19050">
                <a:noFill/>
              </a:ln>
              <a:effectLst/>
            </c:spPr>
            <c:extLst>
              <c:ext xmlns:c16="http://schemas.microsoft.com/office/drawing/2014/chart" uri="{C3380CC4-5D6E-409C-BE32-E72D297353CC}">
                <c16:uniqueId val="{0000000D-F869-45EB-B8E7-606089EB67FD}"/>
              </c:ext>
            </c:extLst>
          </c:dPt>
          <c:dPt>
            <c:idx val="7"/>
            <c:bubble3D val="0"/>
            <c:spPr>
              <a:noFill/>
              <a:ln w="19050">
                <a:noFill/>
              </a:ln>
              <a:effectLst/>
            </c:spPr>
            <c:extLst>
              <c:ext xmlns:c16="http://schemas.microsoft.com/office/drawing/2014/chart" uri="{C3380CC4-5D6E-409C-BE32-E72D297353CC}">
                <c16:uniqueId val="{0000000F-F869-45EB-B8E7-606089EB67FD}"/>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F869-45EB-B8E7-606089EB67FD}"/>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F869-45EB-B8E7-606089EB67FD}"/>
              </c:ext>
            </c:extLst>
          </c:dPt>
          <c:dPt>
            <c:idx val="1"/>
            <c:bubble3D val="0"/>
            <c:spPr>
              <a:solidFill>
                <a:schemeClr val="tx1"/>
              </a:solidFill>
              <a:ln w="19050">
                <a:noFill/>
              </a:ln>
              <a:effectLst/>
            </c:spPr>
            <c:extLst>
              <c:ext xmlns:c16="http://schemas.microsoft.com/office/drawing/2014/chart" uri="{C3380CC4-5D6E-409C-BE32-E72D297353CC}">
                <c16:uniqueId val="{00000014-F869-45EB-B8E7-606089EB67FD}"/>
              </c:ext>
            </c:extLst>
          </c:dPt>
          <c:dPt>
            <c:idx val="2"/>
            <c:bubble3D val="0"/>
            <c:spPr>
              <a:noFill/>
              <a:ln w="19050">
                <a:noFill/>
              </a:ln>
              <a:effectLst/>
            </c:spPr>
            <c:extLst>
              <c:ext xmlns:c16="http://schemas.microsoft.com/office/drawing/2014/chart" uri="{C3380CC4-5D6E-409C-BE32-E72D297353CC}">
                <c16:uniqueId val="{00000016-F869-45EB-B8E7-606089EB67FD}"/>
              </c:ext>
            </c:extLst>
          </c:dPt>
          <c:val>
            <c:numRef>
              <c:f>Reference!$B$47:$D$47</c:f>
              <c:numCache>
                <c:formatCode>General</c:formatCode>
                <c:ptCount val="3"/>
                <c:pt idx="0" formatCode="0%">
                  <c:v>0.4</c:v>
                </c:pt>
                <c:pt idx="1">
                  <c:v>0.03</c:v>
                </c:pt>
                <c:pt idx="2" formatCode="0.00000%">
                  <c:v>0.41999999999999993</c:v>
                </c:pt>
              </c:numCache>
            </c:numRef>
          </c:val>
          <c:extLst>
            <c:ext xmlns:c16="http://schemas.microsoft.com/office/drawing/2014/chart" uri="{C3380CC4-5D6E-409C-BE32-E72D297353CC}">
              <c16:uniqueId val="{00000017-F869-45EB-B8E7-606089EB67FD}"/>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DB86-4FE5-B4B2-381C4ED56F1D}"/>
              </c:ext>
            </c:extLst>
          </c:dPt>
          <c:dPt>
            <c:idx val="1"/>
            <c:bubble3D val="0"/>
            <c:spPr>
              <a:solidFill>
                <a:srgbClr val="FF0000"/>
              </a:solidFill>
              <a:ln w="19050">
                <a:noFill/>
              </a:ln>
              <a:effectLst/>
            </c:spPr>
            <c:extLst>
              <c:ext xmlns:c16="http://schemas.microsoft.com/office/drawing/2014/chart" uri="{C3380CC4-5D6E-409C-BE32-E72D297353CC}">
                <c16:uniqueId val="{00000003-DB86-4FE5-B4B2-381C4ED56F1D}"/>
              </c:ext>
            </c:extLst>
          </c:dPt>
          <c:dPt>
            <c:idx val="2"/>
            <c:bubble3D val="0"/>
            <c:spPr>
              <a:solidFill>
                <a:srgbClr val="FF0000"/>
              </a:solidFill>
              <a:ln w="19050">
                <a:noFill/>
              </a:ln>
              <a:effectLst/>
            </c:spPr>
            <c:extLst>
              <c:ext xmlns:c16="http://schemas.microsoft.com/office/drawing/2014/chart" uri="{C3380CC4-5D6E-409C-BE32-E72D297353CC}">
                <c16:uniqueId val="{00000005-DB86-4FE5-B4B2-381C4ED56F1D}"/>
              </c:ext>
            </c:extLst>
          </c:dPt>
          <c:dPt>
            <c:idx val="3"/>
            <c:bubble3D val="0"/>
            <c:spPr>
              <a:solidFill>
                <a:srgbClr val="FF0000"/>
              </a:solidFill>
              <a:ln w="19050">
                <a:noFill/>
              </a:ln>
              <a:effectLst/>
            </c:spPr>
            <c:extLst>
              <c:ext xmlns:c16="http://schemas.microsoft.com/office/drawing/2014/chart" uri="{C3380CC4-5D6E-409C-BE32-E72D297353CC}">
                <c16:uniqueId val="{00000007-DB86-4FE5-B4B2-381C4ED56F1D}"/>
              </c:ext>
            </c:extLst>
          </c:dPt>
          <c:dPt>
            <c:idx val="4"/>
            <c:bubble3D val="0"/>
            <c:spPr>
              <a:solidFill>
                <a:srgbClr val="FF0000"/>
              </a:solidFill>
              <a:ln w="19050">
                <a:noFill/>
              </a:ln>
              <a:effectLst/>
            </c:spPr>
            <c:extLst>
              <c:ext xmlns:c16="http://schemas.microsoft.com/office/drawing/2014/chart" uri="{C3380CC4-5D6E-409C-BE32-E72D297353CC}">
                <c16:uniqueId val="{00000009-DB86-4FE5-B4B2-381C4ED56F1D}"/>
              </c:ext>
            </c:extLst>
          </c:dPt>
          <c:dPt>
            <c:idx val="5"/>
            <c:bubble3D val="0"/>
            <c:spPr>
              <a:solidFill>
                <a:srgbClr val="FFC000"/>
              </a:solidFill>
              <a:ln w="19050">
                <a:noFill/>
              </a:ln>
              <a:effectLst/>
            </c:spPr>
            <c:extLst>
              <c:ext xmlns:c16="http://schemas.microsoft.com/office/drawing/2014/chart" uri="{C3380CC4-5D6E-409C-BE32-E72D297353CC}">
                <c16:uniqueId val="{0000000B-DB86-4FE5-B4B2-381C4ED56F1D}"/>
              </c:ext>
            </c:extLst>
          </c:dPt>
          <c:dPt>
            <c:idx val="6"/>
            <c:bubble3D val="0"/>
            <c:spPr>
              <a:solidFill>
                <a:srgbClr val="00B050"/>
              </a:solidFill>
              <a:ln w="19050">
                <a:noFill/>
              </a:ln>
              <a:effectLst/>
            </c:spPr>
            <c:extLst>
              <c:ext xmlns:c16="http://schemas.microsoft.com/office/drawing/2014/chart" uri="{C3380CC4-5D6E-409C-BE32-E72D297353CC}">
                <c16:uniqueId val="{0000000D-DB86-4FE5-B4B2-381C4ED56F1D}"/>
              </c:ext>
            </c:extLst>
          </c:dPt>
          <c:dPt>
            <c:idx val="7"/>
            <c:bubble3D val="0"/>
            <c:spPr>
              <a:noFill/>
              <a:ln w="19050">
                <a:noFill/>
              </a:ln>
              <a:effectLst/>
            </c:spPr>
            <c:extLst>
              <c:ext xmlns:c16="http://schemas.microsoft.com/office/drawing/2014/chart" uri="{C3380CC4-5D6E-409C-BE32-E72D297353CC}">
                <c16:uniqueId val="{0000000F-DB86-4FE5-B4B2-381C4ED56F1D}"/>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DB86-4FE5-B4B2-381C4ED56F1D}"/>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DB86-4FE5-B4B2-381C4ED56F1D}"/>
              </c:ext>
            </c:extLst>
          </c:dPt>
          <c:dPt>
            <c:idx val="1"/>
            <c:bubble3D val="0"/>
            <c:spPr>
              <a:solidFill>
                <a:schemeClr val="tx1"/>
              </a:solidFill>
              <a:ln w="19050">
                <a:noFill/>
              </a:ln>
              <a:effectLst/>
            </c:spPr>
            <c:extLst>
              <c:ext xmlns:c16="http://schemas.microsoft.com/office/drawing/2014/chart" uri="{C3380CC4-5D6E-409C-BE32-E72D297353CC}">
                <c16:uniqueId val="{00000014-DB86-4FE5-B4B2-381C4ED56F1D}"/>
              </c:ext>
            </c:extLst>
          </c:dPt>
          <c:dPt>
            <c:idx val="2"/>
            <c:bubble3D val="0"/>
            <c:spPr>
              <a:noFill/>
              <a:ln w="19050">
                <a:noFill/>
              </a:ln>
              <a:effectLst/>
            </c:spPr>
            <c:extLst>
              <c:ext xmlns:c16="http://schemas.microsoft.com/office/drawing/2014/chart" uri="{C3380CC4-5D6E-409C-BE32-E72D297353CC}">
                <c16:uniqueId val="{00000016-DB86-4FE5-B4B2-381C4ED56F1D}"/>
              </c:ext>
            </c:extLst>
          </c:dPt>
          <c:val>
            <c:numRef>
              <c:f>Reference!$B$28:$D$28</c:f>
              <c:numCache>
                <c:formatCode>General</c:formatCode>
                <c:ptCount val="3"/>
                <c:pt idx="0" formatCode="0%">
                  <c:v>1</c:v>
                </c:pt>
                <c:pt idx="1">
                  <c:v>0.03</c:v>
                </c:pt>
                <c:pt idx="2">
                  <c:v>0.97</c:v>
                </c:pt>
              </c:numCache>
            </c:numRef>
          </c:val>
          <c:extLst>
            <c:ext xmlns:c16="http://schemas.microsoft.com/office/drawing/2014/chart" uri="{C3380CC4-5D6E-409C-BE32-E72D297353CC}">
              <c16:uniqueId val="{00000017-DB86-4FE5-B4B2-381C4ED56F1D}"/>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E3C8-4567-AE67-06685CCC8247}"/>
              </c:ext>
            </c:extLst>
          </c:dPt>
          <c:dPt>
            <c:idx val="1"/>
            <c:bubble3D val="0"/>
            <c:spPr>
              <a:solidFill>
                <a:srgbClr val="FF0000"/>
              </a:solidFill>
              <a:ln w="19050">
                <a:noFill/>
              </a:ln>
              <a:effectLst/>
            </c:spPr>
            <c:extLst>
              <c:ext xmlns:c16="http://schemas.microsoft.com/office/drawing/2014/chart" uri="{C3380CC4-5D6E-409C-BE32-E72D297353CC}">
                <c16:uniqueId val="{00000003-E3C8-4567-AE67-06685CCC8247}"/>
              </c:ext>
            </c:extLst>
          </c:dPt>
          <c:dPt>
            <c:idx val="2"/>
            <c:bubble3D val="0"/>
            <c:spPr>
              <a:solidFill>
                <a:srgbClr val="FF0000"/>
              </a:solidFill>
              <a:ln w="19050">
                <a:noFill/>
              </a:ln>
              <a:effectLst/>
            </c:spPr>
            <c:extLst>
              <c:ext xmlns:c16="http://schemas.microsoft.com/office/drawing/2014/chart" uri="{C3380CC4-5D6E-409C-BE32-E72D297353CC}">
                <c16:uniqueId val="{00000005-E3C8-4567-AE67-06685CCC8247}"/>
              </c:ext>
            </c:extLst>
          </c:dPt>
          <c:dPt>
            <c:idx val="3"/>
            <c:bubble3D val="0"/>
            <c:spPr>
              <a:solidFill>
                <a:srgbClr val="FF0000"/>
              </a:solidFill>
              <a:ln w="19050">
                <a:noFill/>
              </a:ln>
              <a:effectLst/>
            </c:spPr>
            <c:extLst>
              <c:ext xmlns:c16="http://schemas.microsoft.com/office/drawing/2014/chart" uri="{C3380CC4-5D6E-409C-BE32-E72D297353CC}">
                <c16:uniqueId val="{00000007-E3C8-4567-AE67-06685CCC8247}"/>
              </c:ext>
            </c:extLst>
          </c:dPt>
          <c:dPt>
            <c:idx val="4"/>
            <c:bubble3D val="0"/>
            <c:spPr>
              <a:solidFill>
                <a:srgbClr val="FF0000"/>
              </a:solidFill>
              <a:ln w="19050">
                <a:noFill/>
              </a:ln>
              <a:effectLst/>
            </c:spPr>
            <c:extLst>
              <c:ext xmlns:c16="http://schemas.microsoft.com/office/drawing/2014/chart" uri="{C3380CC4-5D6E-409C-BE32-E72D297353CC}">
                <c16:uniqueId val="{00000009-E3C8-4567-AE67-06685CCC8247}"/>
              </c:ext>
            </c:extLst>
          </c:dPt>
          <c:dPt>
            <c:idx val="5"/>
            <c:bubble3D val="0"/>
            <c:spPr>
              <a:solidFill>
                <a:srgbClr val="FFC000"/>
              </a:solidFill>
              <a:ln w="19050">
                <a:noFill/>
              </a:ln>
              <a:effectLst/>
            </c:spPr>
            <c:extLst>
              <c:ext xmlns:c16="http://schemas.microsoft.com/office/drawing/2014/chart" uri="{C3380CC4-5D6E-409C-BE32-E72D297353CC}">
                <c16:uniqueId val="{0000000B-E3C8-4567-AE67-06685CCC8247}"/>
              </c:ext>
            </c:extLst>
          </c:dPt>
          <c:dPt>
            <c:idx val="6"/>
            <c:bubble3D val="0"/>
            <c:spPr>
              <a:solidFill>
                <a:srgbClr val="00B050"/>
              </a:solidFill>
              <a:ln w="19050">
                <a:noFill/>
              </a:ln>
              <a:effectLst/>
            </c:spPr>
            <c:extLst>
              <c:ext xmlns:c16="http://schemas.microsoft.com/office/drawing/2014/chart" uri="{C3380CC4-5D6E-409C-BE32-E72D297353CC}">
                <c16:uniqueId val="{0000000D-E3C8-4567-AE67-06685CCC8247}"/>
              </c:ext>
            </c:extLst>
          </c:dPt>
          <c:dPt>
            <c:idx val="7"/>
            <c:bubble3D val="0"/>
            <c:spPr>
              <a:noFill/>
              <a:ln w="19050">
                <a:noFill/>
              </a:ln>
              <a:effectLst/>
            </c:spPr>
            <c:extLst>
              <c:ext xmlns:c16="http://schemas.microsoft.com/office/drawing/2014/chart" uri="{C3380CC4-5D6E-409C-BE32-E72D297353CC}">
                <c16:uniqueId val="{0000000F-E3C8-4567-AE67-06685CCC8247}"/>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E3C8-4567-AE67-06685CCC8247}"/>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E3C8-4567-AE67-06685CCC8247}"/>
              </c:ext>
            </c:extLst>
          </c:dPt>
          <c:dPt>
            <c:idx val="1"/>
            <c:bubble3D val="0"/>
            <c:spPr>
              <a:solidFill>
                <a:schemeClr val="tx1"/>
              </a:solidFill>
              <a:ln w="19050">
                <a:noFill/>
              </a:ln>
              <a:effectLst/>
            </c:spPr>
            <c:extLst>
              <c:ext xmlns:c16="http://schemas.microsoft.com/office/drawing/2014/chart" uri="{C3380CC4-5D6E-409C-BE32-E72D297353CC}">
                <c16:uniqueId val="{00000014-E3C8-4567-AE67-06685CCC8247}"/>
              </c:ext>
            </c:extLst>
          </c:dPt>
          <c:dPt>
            <c:idx val="2"/>
            <c:bubble3D val="0"/>
            <c:spPr>
              <a:noFill/>
              <a:ln w="19050">
                <a:noFill/>
              </a:ln>
              <a:effectLst/>
            </c:spPr>
            <c:extLst>
              <c:ext xmlns:c16="http://schemas.microsoft.com/office/drawing/2014/chart" uri="{C3380CC4-5D6E-409C-BE32-E72D297353CC}">
                <c16:uniqueId val="{00000016-E3C8-4567-AE67-06685CCC8247}"/>
              </c:ext>
            </c:extLst>
          </c:dPt>
          <c:val>
            <c:numRef>
              <c:f>Reference!$B$57:$D$57</c:f>
              <c:numCache>
                <c:formatCode>General</c:formatCode>
                <c:ptCount val="3"/>
                <c:pt idx="0" formatCode="0%">
                  <c:v>0.4</c:v>
                </c:pt>
                <c:pt idx="1">
                  <c:v>0.03</c:v>
                </c:pt>
                <c:pt idx="2" formatCode="0%">
                  <c:v>0.41999999999999993</c:v>
                </c:pt>
              </c:numCache>
            </c:numRef>
          </c:val>
          <c:extLst>
            <c:ext xmlns:c16="http://schemas.microsoft.com/office/drawing/2014/chart" uri="{C3380CC4-5D6E-409C-BE32-E72D297353CC}">
              <c16:uniqueId val="{00000017-E3C8-4567-AE67-06685CCC8247}"/>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88AB-496F-845E-F7C727C4D29B}"/>
              </c:ext>
            </c:extLst>
          </c:dPt>
          <c:dPt>
            <c:idx val="1"/>
            <c:bubble3D val="0"/>
            <c:spPr>
              <a:solidFill>
                <a:srgbClr val="FF0000"/>
              </a:solidFill>
              <a:ln w="19050">
                <a:noFill/>
              </a:ln>
              <a:effectLst/>
            </c:spPr>
            <c:extLst>
              <c:ext xmlns:c16="http://schemas.microsoft.com/office/drawing/2014/chart" uri="{C3380CC4-5D6E-409C-BE32-E72D297353CC}">
                <c16:uniqueId val="{00000003-88AB-496F-845E-F7C727C4D29B}"/>
              </c:ext>
            </c:extLst>
          </c:dPt>
          <c:dPt>
            <c:idx val="2"/>
            <c:bubble3D val="0"/>
            <c:spPr>
              <a:solidFill>
                <a:srgbClr val="FF0000"/>
              </a:solidFill>
              <a:ln w="19050">
                <a:noFill/>
              </a:ln>
              <a:effectLst/>
            </c:spPr>
            <c:extLst>
              <c:ext xmlns:c16="http://schemas.microsoft.com/office/drawing/2014/chart" uri="{C3380CC4-5D6E-409C-BE32-E72D297353CC}">
                <c16:uniqueId val="{00000005-88AB-496F-845E-F7C727C4D29B}"/>
              </c:ext>
            </c:extLst>
          </c:dPt>
          <c:dPt>
            <c:idx val="3"/>
            <c:bubble3D val="0"/>
            <c:spPr>
              <a:solidFill>
                <a:srgbClr val="FF0000"/>
              </a:solidFill>
              <a:ln w="19050">
                <a:noFill/>
              </a:ln>
              <a:effectLst/>
            </c:spPr>
            <c:extLst>
              <c:ext xmlns:c16="http://schemas.microsoft.com/office/drawing/2014/chart" uri="{C3380CC4-5D6E-409C-BE32-E72D297353CC}">
                <c16:uniqueId val="{00000007-88AB-496F-845E-F7C727C4D29B}"/>
              </c:ext>
            </c:extLst>
          </c:dPt>
          <c:dPt>
            <c:idx val="4"/>
            <c:bubble3D val="0"/>
            <c:spPr>
              <a:solidFill>
                <a:srgbClr val="FF0000"/>
              </a:solidFill>
              <a:ln w="19050">
                <a:noFill/>
              </a:ln>
              <a:effectLst/>
            </c:spPr>
            <c:extLst>
              <c:ext xmlns:c16="http://schemas.microsoft.com/office/drawing/2014/chart" uri="{C3380CC4-5D6E-409C-BE32-E72D297353CC}">
                <c16:uniqueId val="{00000009-88AB-496F-845E-F7C727C4D29B}"/>
              </c:ext>
            </c:extLst>
          </c:dPt>
          <c:dPt>
            <c:idx val="5"/>
            <c:bubble3D val="0"/>
            <c:spPr>
              <a:solidFill>
                <a:srgbClr val="FFC000"/>
              </a:solidFill>
              <a:ln w="19050">
                <a:noFill/>
              </a:ln>
              <a:effectLst/>
            </c:spPr>
            <c:extLst>
              <c:ext xmlns:c16="http://schemas.microsoft.com/office/drawing/2014/chart" uri="{C3380CC4-5D6E-409C-BE32-E72D297353CC}">
                <c16:uniqueId val="{0000000B-88AB-496F-845E-F7C727C4D29B}"/>
              </c:ext>
            </c:extLst>
          </c:dPt>
          <c:dPt>
            <c:idx val="6"/>
            <c:bubble3D val="0"/>
            <c:spPr>
              <a:solidFill>
                <a:srgbClr val="00B050"/>
              </a:solidFill>
              <a:ln w="19050">
                <a:noFill/>
              </a:ln>
              <a:effectLst/>
            </c:spPr>
            <c:extLst>
              <c:ext xmlns:c16="http://schemas.microsoft.com/office/drawing/2014/chart" uri="{C3380CC4-5D6E-409C-BE32-E72D297353CC}">
                <c16:uniqueId val="{0000000D-88AB-496F-845E-F7C727C4D29B}"/>
              </c:ext>
            </c:extLst>
          </c:dPt>
          <c:dPt>
            <c:idx val="7"/>
            <c:bubble3D val="0"/>
            <c:spPr>
              <a:noFill/>
              <a:ln w="19050">
                <a:noFill/>
              </a:ln>
              <a:effectLst/>
            </c:spPr>
            <c:extLst>
              <c:ext xmlns:c16="http://schemas.microsoft.com/office/drawing/2014/chart" uri="{C3380CC4-5D6E-409C-BE32-E72D297353CC}">
                <c16:uniqueId val="{0000000F-88AB-496F-845E-F7C727C4D29B}"/>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88AB-496F-845E-F7C727C4D29B}"/>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88AB-496F-845E-F7C727C4D29B}"/>
              </c:ext>
            </c:extLst>
          </c:dPt>
          <c:dPt>
            <c:idx val="1"/>
            <c:bubble3D val="0"/>
            <c:spPr>
              <a:solidFill>
                <a:schemeClr val="tx1"/>
              </a:solidFill>
              <a:ln w="19050">
                <a:noFill/>
              </a:ln>
              <a:effectLst/>
            </c:spPr>
            <c:extLst>
              <c:ext xmlns:c16="http://schemas.microsoft.com/office/drawing/2014/chart" uri="{C3380CC4-5D6E-409C-BE32-E72D297353CC}">
                <c16:uniqueId val="{00000014-88AB-496F-845E-F7C727C4D29B}"/>
              </c:ext>
            </c:extLst>
          </c:dPt>
          <c:dPt>
            <c:idx val="2"/>
            <c:bubble3D val="0"/>
            <c:spPr>
              <a:noFill/>
              <a:ln w="19050">
                <a:noFill/>
              </a:ln>
              <a:effectLst/>
            </c:spPr>
            <c:extLst>
              <c:ext xmlns:c16="http://schemas.microsoft.com/office/drawing/2014/chart" uri="{C3380CC4-5D6E-409C-BE32-E72D297353CC}">
                <c16:uniqueId val="{00000016-88AB-496F-845E-F7C727C4D29B}"/>
              </c:ext>
            </c:extLst>
          </c:dPt>
          <c:val>
            <c:numRef>
              <c:f>Reference!$J$9:$L$9</c:f>
              <c:numCache>
                <c:formatCode>General</c:formatCode>
                <c:ptCount val="3"/>
                <c:pt idx="0" formatCode="0%">
                  <c:v>1</c:v>
                </c:pt>
                <c:pt idx="1">
                  <c:v>0.03</c:v>
                </c:pt>
                <c:pt idx="2">
                  <c:v>0.97</c:v>
                </c:pt>
              </c:numCache>
            </c:numRef>
          </c:val>
          <c:extLst>
            <c:ext xmlns:c16="http://schemas.microsoft.com/office/drawing/2014/chart" uri="{C3380CC4-5D6E-409C-BE32-E72D297353CC}">
              <c16:uniqueId val="{00000017-88AB-496F-845E-F7C727C4D29B}"/>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315B-4F46-B814-01304ACFFFFC}"/>
              </c:ext>
            </c:extLst>
          </c:dPt>
          <c:dPt>
            <c:idx val="1"/>
            <c:bubble3D val="0"/>
            <c:spPr>
              <a:solidFill>
                <a:srgbClr val="FF0000"/>
              </a:solidFill>
              <a:ln w="19050">
                <a:noFill/>
              </a:ln>
              <a:effectLst/>
            </c:spPr>
            <c:extLst>
              <c:ext xmlns:c16="http://schemas.microsoft.com/office/drawing/2014/chart" uri="{C3380CC4-5D6E-409C-BE32-E72D297353CC}">
                <c16:uniqueId val="{00000003-315B-4F46-B814-01304ACFFFFC}"/>
              </c:ext>
            </c:extLst>
          </c:dPt>
          <c:dPt>
            <c:idx val="2"/>
            <c:bubble3D val="0"/>
            <c:spPr>
              <a:solidFill>
                <a:srgbClr val="FF0000"/>
              </a:solidFill>
              <a:ln w="19050">
                <a:noFill/>
              </a:ln>
              <a:effectLst/>
            </c:spPr>
            <c:extLst>
              <c:ext xmlns:c16="http://schemas.microsoft.com/office/drawing/2014/chart" uri="{C3380CC4-5D6E-409C-BE32-E72D297353CC}">
                <c16:uniqueId val="{00000005-315B-4F46-B814-01304ACFFFFC}"/>
              </c:ext>
            </c:extLst>
          </c:dPt>
          <c:dPt>
            <c:idx val="3"/>
            <c:bubble3D val="0"/>
            <c:spPr>
              <a:solidFill>
                <a:srgbClr val="FF0000"/>
              </a:solidFill>
              <a:ln w="19050">
                <a:noFill/>
              </a:ln>
              <a:effectLst/>
            </c:spPr>
            <c:extLst>
              <c:ext xmlns:c16="http://schemas.microsoft.com/office/drawing/2014/chart" uri="{C3380CC4-5D6E-409C-BE32-E72D297353CC}">
                <c16:uniqueId val="{00000007-315B-4F46-B814-01304ACFFFFC}"/>
              </c:ext>
            </c:extLst>
          </c:dPt>
          <c:dPt>
            <c:idx val="4"/>
            <c:bubble3D val="0"/>
            <c:spPr>
              <a:solidFill>
                <a:srgbClr val="FF0000"/>
              </a:solidFill>
              <a:ln w="19050">
                <a:noFill/>
              </a:ln>
              <a:effectLst/>
            </c:spPr>
            <c:extLst>
              <c:ext xmlns:c16="http://schemas.microsoft.com/office/drawing/2014/chart" uri="{C3380CC4-5D6E-409C-BE32-E72D297353CC}">
                <c16:uniqueId val="{00000009-315B-4F46-B814-01304ACFFFFC}"/>
              </c:ext>
            </c:extLst>
          </c:dPt>
          <c:dPt>
            <c:idx val="5"/>
            <c:bubble3D val="0"/>
            <c:spPr>
              <a:solidFill>
                <a:srgbClr val="FFC000"/>
              </a:solidFill>
              <a:ln w="19050">
                <a:noFill/>
              </a:ln>
              <a:effectLst/>
            </c:spPr>
            <c:extLst>
              <c:ext xmlns:c16="http://schemas.microsoft.com/office/drawing/2014/chart" uri="{C3380CC4-5D6E-409C-BE32-E72D297353CC}">
                <c16:uniqueId val="{0000000B-315B-4F46-B814-01304ACFFFFC}"/>
              </c:ext>
            </c:extLst>
          </c:dPt>
          <c:dPt>
            <c:idx val="6"/>
            <c:bubble3D val="0"/>
            <c:spPr>
              <a:solidFill>
                <a:srgbClr val="00B050"/>
              </a:solidFill>
              <a:ln w="19050">
                <a:noFill/>
              </a:ln>
              <a:effectLst/>
            </c:spPr>
            <c:extLst>
              <c:ext xmlns:c16="http://schemas.microsoft.com/office/drawing/2014/chart" uri="{C3380CC4-5D6E-409C-BE32-E72D297353CC}">
                <c16:uniqueId val="{0000000D-315B-4F46-B814-01304ACFFFFC}"/>
              </c:ext>
            </c:extLst>
          </c:dPt>
          <c:dPt>
            <c:idx val="7"/>
            <c:bubble3D val="0"/>
            <c:spPr>
              <a:noFill/>
              <a:ln w="19050">
                <a:noFill/>
              </a:ln>
              <a:effectLst/>
            </c:spPr>
            <c:extLst>
              <c:ext xmlns:c16="http://schemas.microsoft.com/office/drawing/2014/chart" uri="{C3380CC4-5D6E-409C-BE32-E72D297353CC}">
                <c16:uniqueId val="{0000000F-315B-4F46-B814-01304ACFFFFC}"/>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315B-4F46-B814-01304ACFFFFC}"/>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315B-4F46-B814-01304ACFFFFC}"/>
              </c:ext>
            </c:extLst>
          </c:dPt>
          <c:dPt>
            <c:idx val="1"/>
            <c:bubble3D val="0"/>
            <c:spPr>
              <a:solidFill>
                <a:schemeClr val="tx1"/>
              </a:solidFill>
              <a:ln w="19050">
                <a:noFill/>
              </a:ln>
              <a:effectLst/>
            </c:spPr>
            <c:extLst>
              <c:ext xmlns:c16="http://schemas.microsoft.com/office/drawing/2014/chart" uri="{C3380CC4-5D6E-409C-BE32-E72D297353CC}">
                <c16:uniqueId val="{00000014-315B-4F46-B814-01304ACFFFFC}"/>
              </c:ext>
            </c:extLst>
          </c:dPt>
          <c:dPt>
            <c:idx val="2"/>
            <c:bubble3D val="0"/>
            <c:spPr>
              <a:noFill/>
              <a:ln w="19050">
                <a:noFill/>
              </a:ln>
              <a:effectLst/>
            </c:spPr>
            <c:extLst>
              <c:ext xmlns:c16="http://schemas.microsoft.com/office/drawing/2014/chart" uri="{C3380CC4-5D6E-409C-BE32-E72D297353CC}">
                <c16:uniqueId val="{00000016-315B-4F46-B814-01304ACFFFFC}"/>
              </c:ext>
            </c:extLst>
          </c:dPt>
          <c:val>
            <c:numRef>
              <c:f>Reference!$R$9:$T$9</c:f>
              <c:numCache>
                <c:formatCode>General</c:formatCode>
                <c:ptCount val="3"/>
                <c:pt idx="0" formatCode="0%">
                  <c:v>1</c:v>
                </c:pt>
                <c:pt idx="1">
                  <c:v>0.03</c:v>
                </c:pt>
                <c:pt idx="2">
                  <c:v>0.97</c:v>
                </c:pt>
              </c:numCache>
            </c:numRef>
          </c:val>
          <c:extLst>
            <c:ext xmlns:c16="http://schemas.microsoft.com/office/drawing/2014/chart" uri="{C3380CC4-5D6E-409C-BE32-E72D297353CC}">
              <c16:uniqueId val="{00000017-315B-4F46-B814-01304ACFFFFC}"/>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9418-47D5-AF49-E7DC8956925C}"/>
              </c:ext>
            </c:extLst>
          </c:dPt>
          <c:dPt>
            <c:idx val="1"/>
            <c:bubble3D val="0"/>
            <c:spPr>
              <a:solidFill>
                <a:srgbClr val="FF0000"/>
              </a:solidFill>
              <a:ln w="19050">
                <a:noFill/>
              </a:ln>
              <a:effectLst/>
            </c:spPr>
            <c:extLst>
              <c:ext xmlns:c16="http://schemas.microsoft.com/office/drawing/2014/chart" uri="{C3380CC4-5D6E-409C-BE32-E72D297353CC}">
                <c16:uniqueId val="{00000003-9418-47D5-AF49-E7DC8956925C}"/>
              </c:ext>
            </c:extLst>
          </c:dPt>
          <c:dPt>
            <c:idx val="2"/>
            <c:bubble3D val="0"/>
            <c:spPr>
              <a:solidFill>
                <a:srgbClr val="FF0000"/>
              </a:solidFill>
              <a:ln w="19050">
                <a:noFill/>
              </a:ln>
              <a:effectLst/>
            </c:spPr>
            <c:extLst>
              <c:ext xmlns:c16="http://schemas.microsoft.com/office/drawing/2014/chart" uri="{C3380CC4-5D6E-409C-BE32-E72D297353CC}">
                <c16:uniqueId val="{00000005-9418-47D5-AF49-E7DC8956925C}"/>
              </c:ext>
            </c:extLst>
          </c:dPt>
          <c:dPt>
            <c:idx val="3"/>
            <c:bubble3D val="0"/>
            <c:spPr>
              <a:solidFill>
                <a:srgbClr val="FF0000"/>
              </a:solidFill>
              <a:ln w="19050">
                <a:noFill/>
              </a:ln>
              <a:effectLst/>
            </c:spPr>
            <c:extLst>
              <c:ext xmlns:c16="http://schemas.microsoft.com/office/drawing/2014/chart" uri="{C3380CC4-5D6E-409C-BE32-E72D297353CC}">
                <c16:uniqueId val="{00000007-9418-47D5-AF49-E7DC8956925C}"/>
              </c:ext>
            </c:extLst>
          </c:dPt>
          <c:dPt>
            <c:idx val="4"/>
            <c:bubble3D val="0"/>
            <c:spPr>
              <a:solidFill>
                <a:srgbClr val="FF0000"/>
              </a:solidFill>
              <a:ln w="19050">
                <a:noFill/>
              </a:ln>
              <a:effectLst/>
            </c:spPr>
            <c:extLst>
              <c:ext xmlns:c16="http://schemas.microsoft.com/office/drawing/2014/chart" uri="{C3380CC4-5D6E-409C-BE32-E72D297353CC}">
                <c16:uniqueId val="{00000009-9418-47D5-AF49-E7DC8956925C}"/>
              </c:ext>
            </c:extLst>
          </c:dPt>
          <c:dPt>
            <c:idx val="5"/>
            <c:bubble3D val="0"/>
            <c:spPr>
              <a:solidFill>
                <a:srgbClr val="FFC000"/>
              </a:solidFill>
              <a:ln w="19050">
                <a:noFill/>
              </a:ln>
              <a:effectLst/>
            </c:spPr>
            <c:extLst>
              <c:ext xmlns:c16="http://schemas.microsoft.com/office/drawing/2014/chart" uri="{C3380CC4-5D6E-409C-BE32-E72D297353CC}">
                <c16:uniqueId val="{0000000B-9418-47D5-AF49-E7DC8956925C}"/>
              </c:ext>
            </c:extLst>
          </c:dPt>
          <c:dPt>
            <c:idx val="6"/>
            <c:bubble3D val="0"/>
            <c:spPr>
              <a:solidFill>
                <a:srgbClr val="00B050"/>
              </a:solidFill>
              <a:ln w="19050">
                <a:noFill/>
              </a:ln>
              <a:effectLst/>
            </c:spPr>
            <c:extLst>
              <c:ext xmlns:c16="http://schemas.microsoft.com/office/drawing/2014/chart" uri="{C3380CC4-5D6E-409C-BE32-E72D297353CC}">
                <c16:uniqueId val="{0000000D-9418-47D5-AF49-E7DC8956925C}"/>
              </c:ext>
            </c:extLst>
          </c:dPt>
          <c:dPt>
            <c:idx val="7"/>
            <c:bubble3D val="0"/>
            <c:spPr>
              <a:noFill/>
              <a:ln w="19050">
                <a:noFill/>
              </a:ln>
              <a:effectLst/>
            </c:spPr>
            <c:extLst>
              <c:ext xmlns:c16="http://schemas.microsoft.com/office/drawing/2014/chart" uri="{C3380CC4-5D6E-409C-BE32-E72D297353CC}">
                <c16:uniqueId val="{0000000F-9418-47D5-AF49-E7DC8956925C}"/>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9418-47D5-AF49-E7DC8956925C}"/>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9418-47D5-AF49-E7DC8956925C}"/>
              </c:ext>
            </c:extLst>
          </c:dPt>
          <c:dPt>
            <c:idx val="1"/>
            <c:bubble3D val="0"/>
            <c:spPr>
              <a:solidFill>
                <a:schemeClr val="tx1"/>
              </a:solidFill>
              <a:ln w="19050">
                <a:noFill/>
              </a:ln>
              <a:effectLst/>
            </c:spPr>
            <c:extLst>
              <c:ext xmlns:c16="http://schemas.microsoft.com/office/drawing/2014/chart" uri="{C3380CC4-5D6E-409C-BE32-E72D297353CC}">
                <c16:uniqueId val="{00000014-9418-47D5-AF49-E7DC8956925C}"/>
              </c:ext>
            </c:extLst>
          </c:dPt>
          <c:dPt>
            <c:idx val="2"/>
            <c:bubble3D val="0"/>
            <c:spPr>
              <a:noFill/>
              <a:ln w="19050">
                <a:noFill/>
              </a:ln>
              <a:effectLst/>
            </c:spPr>
            <c:extLst>
              <c:ext xmlns:c16="http://schemas.microsoft.com/office/drawing/2014/chart" uri="{C3380CC4-5D6E-409C-BE32-E72D297353CC}">
                <c16:uniqueId val="{00000016-9418-47D5-AF49-E7DC8956925C}"/>
              </c:ext>
            </c:extLst>
          </c:dPt>
          <c:val>
            <c:numRef>
              <c:f>Reference!$J$9:$L$9</c:f>
              <c:numCache>
                <c:formatCode>General</c:formatCode>
                <c:ptCount val="3"/>
                <c:pt idx="0" formatCode="0%">
                  <c:v>1</c:v>
                </c:pt>
                <c:pt idx="1">
                  <c:v>0.03</c:v>
                </c:pt>
                <c:pt idx="2">
                  <c:v>0.97</c:v>
                </c:pt>
              </c:numCache>
            </c:numRef>
          </c:val>
          <c:extLst>
            <c:ext xmlns:c16="http://schemas.microsoft.com/office/drawing/2014/chart" uri="{C3380CC4-5D6E-409C-BE32-E72D297353CC}">
              <c16:uniqueId val="{00000017-9418-47D5-AF49-E7DC8956925C}"/>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B7A6-4AFB-BC3E-3666E230839F}"/>
              </c:ext>
            </c:extLst>
          </c:dPt>
          <c:dPt>
            <c:idx val="1"/>
            <c:bubble3D val="0"/>
            <c:spPr>
              <a:solidFill>
                <a:srgbClr val="FF0000"/>
              </a:solidFill>
              <a:ln w="19050">
                <a:noFill/>
              </a:ln>
              <a:effectLst/>
            </c:spPr>
            <c:extLst>
              <c:ext xmlns:c16="http://schemas.microsoft.com/office/drawing/2014/chart" uri="{C3380CC4-5D6E-409C-BE32-E72D297353CC}">
                <c16:uniqueId val="{00000003-B7A6-4AFB-BC3E-3666E230839F}"/>
              </c:ext>
            </c:extLst>
          </c:dPt>
          <c:dPt>
            <c:idx val="2"/>
            <c:bubble3D val="0"/>
            <c:spPr>
              <a:solidFill>
                <a:srgbClr val="FF0000"/>
              </a:solidFill>
              <a:ln w="19050">
                <a:noFill/>
              </a:ln>
              <a:effectLst/>
            </c:spPr>
            <c:extLst>
              <c:ext xmlns:c16="http://schemas.microsoft.com/office/drawing/2014/chart" uri="{C3380CC4-5D6E-409C-BE32-E72D297353CC}">
                <c16:uniqueId val="{00000005-B7A6-4AFB-BC3E-3666E230839F}"/>
              </c:ext>
            </c:extLst>
          </c:dPt>
          <c:dPt>
            <c:idx val="3"/>
            <c:bubble3D val="0"/>
            <c:spPr>
              <a:solidFill>
                <a:srgbClr val="FF0000"/>
              </a:solidFill>
              <a:ln w="19050">
                <a:noFill/>
              </a:ln>
              <a:effectLst/>
            </c:spPr>
            <c:extLst>
              <c:ext xmlns:c16="http://schemas.microsoft.com/office/drawing/2014/chart" uri="{C3380CC4-5D6E-409C-BE32-E72D297353CC}">
                <c16:uniqueId val="{00000007-B7A6-4AFB-BC3E-3666E230839F}"/>
              </c:ext>
            </c:extLst>
          </c:dPt>
          <c:dPt>
            <c:idx val="4"/>
            <c:bubble3D val="0"/>
            <c:spPr>
              <a:solidFill>
                <a:srgbClr val="FF0000"/>
              </a:solidFill>
              <a:ln w="19050">
                <a:noFill/>
              </a:ln>
              <a:effectLst/>
            </c:spPr>
            <c:extLst>
              <c:ext xmlns:c16="http://schemas.microsoft.com/office/drawing/2014/chart" uri="{C3380CC4-5D6E-409C-BE32-E72D297353CC}">
                <c16:uniqueId val="{00000009-B7A6-4AFB-BC3E-3666E230839F}"/>
              </c:ext>
            </c:extLst>
          </c:dPt>
          <c:dPt>
            <c:idx val="5"/>
            <c:bubble3D val="0"/>
            <c:spPr>
              <a:solidFill>
                <a:srgbClr val="FFC000"/>
              </a:solidFill>
              <a:ln w="19050">
                <a:noFill/>
              </a:ln>
              <a:effectLst/>
            </c:spPr>
            <c:extLst>
              <c:ext xmlns:c16="http://schemas.microsoft.com/office/drawing/2014/chart" uri="{C3380CC4-5D6E-409C-BE32-E72D297353CC}">
                <c16:uniqueId val="{0000000B-B7A6-4AFB-BC3E-3666E230839F}"/>
              </c:ext>
            </c:extLst>
          </c:dPt>
          <c:dPt>
            <c:idx val="6"/>
            <c:bubble3D val="0"/>
            <c:spPr>
              <a:solidFill>
                <a:srgbClr val="00B050"/>
              </a:solidFill>
              <a:ln w="19050">
                <a:noFill/>
              </a:ln>
              <a:effectLst/>
            </c:spPr>
            <c:extLst>
              <c:ext xmlns:c16="http://schemas.microsoft.com/office/drawing/2014/chart" uri="{C3380CC4-5D6E-409C-BE32-E72D297353CC}">
                <c16:uniqueId val="{0000000D-B7A6-4AFB-BC3E-3666E230839F}"/>
              </c:ext>
            </c:extLst>
          </c:dPt>
          <c:dPt>
            <c:idx val="7"/>
            <c:bubble3D val="0"/>
            <c:spPr>
              <a:noFill/>
              <a:ln w="19050">
                <a:noFill/>
              </a:ln>
              <a:effectLst/>
            </c:spPr>
            <c:extLst>
              <c:ext xmlns:c16="http://schemas.microsoft.com/office/drawing/2014/chart" uri="{C3380CC4-5D6E-409C-BE32-E72D297353CC}">
                <c16:uniqueId val="{0000000F-B7A6-4AFB-BC3E-3666E230839F}"/>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B7A6-4AFB-BC3E-3666E230839F}"/>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B7A6-4AFB-BC3E-3666E230839F}"/>
              </c:ext>
            </c:extLst>
          </c:dPt>
          <c:dPt>
            <c:idx val="1"/>
            <c:bubble3D val="0"/>
            <c:spPr>
              <a:solidFill>
                <a:schemeClr val="tx1"/>
              </a:solidFill>
              <a:ln w="19050">
                <a:noFill/>
              </a:ln>
              <a:effectLst/>
            </c:spPr>
            <c:extLst>
              <c:ext xmlns:c16="http://schemas.microsoft.com/office/drawing/2014/chart" uri="{C3380CC4-5D6E-409C-BE32-E72D297353CC}">
                <c16:uniqueId val="{00000014-B7A6-4AFB-BC3E-3666E230839F}"/>
              </c:ext>
            </c:extLst>
          </c:dPt>
          <c:dPt>
            <c:idx val="2"/>
            <c:bubble3D val="0"/>
            <c:spPr>
              <a:noFill/>
              <a:ln w="19050">
                <a:noFill/>
              </a:ln>
              <a:effectLst/>
            </c:spPr>
            <c:extLst>
              <c:ext xmlns:c16="http://schemas.microsoft.com/office/drawing/2014/chart" uri="{C3380CC4-5D6E-409C-BE32-E72D297353CC}">
                <c16:uniqueId val="{00000016-B7A6-4AFB-BC3E-3666E230839F}"/>
              </c:ext>
            </c:extLst>
          </c:dPt>
          <c:val>
            <c:numRef>
              <c:f>Reference!$B$68:$D$68</c:f>
              <c:numCache>
                <c:formatCode>General</c:formatCode>
                <c:ptCount val="3"/>
                <c:pt idx="0" formatCode="0%">
                  <c:v>1</c:v>
                </c:pt>
                <c:pt idx="1">
                  <c:v>0.03</c:v>
                </c:pt>
                <c:pt idx="2">
                  <c:v>0.97</c:v>
                </c:pt>
              </c:numCache>
            </c:numRef>
          </c:val>
          <c:extLst>
            <c:ext xmlns:c16="http://schemas.microsoft.com/office/drawing/2014/chart" uri="{C3380CC4-5D6E-409C-BE32-E72D297353CC}">
              <c16:uniqueId val="{00000017-B7A6-4AFB-BC3E-3666E230839F}"/>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67EA-4C31-9799-2A17BDB9E3D0}"/>
              </c:ext>
            </c:extLst>
          </c:dPt>
          <c:dPt>
            <c:idx val="1"/>
            <c:bubble3D val="0"/>
            <c:spPr>
              <a:solidFill>
                <a:srgbClr val="FF0000"/>
              </a:solidFill>
              <a:ln w="19050">
                <a:noFill/>
              </a:ln>
              <a:effectLst/>
            </c:spPr>
            <c:extLst>
              <c:ext xmlns:c16="http://schemas.microsoft.com/office/drawing/2014/chart" uri="{C3380CC4-5D6E-409C-BE32-E72D297353CC}">
                <c16:uniqueId val="{00000003-67EA-4C31-9799-2A17BDB9E3D0}"/>
              </c:ext>
            </c:extLst>
          </c:dPt>
          <c:dPt>
            <c:idx val="2"/>
            <c:bubble3D val="0"/>
            <c:spPr>
              <a:solidFill>
                <a:srgbClr val="FF0000"/>
              </a:solidFill>
              <a:ln w="19050">
                <a:noFill/>
              </a:ln>
              <a:effectLst/>
            </c:spPr>
            <c:extLst>
              <c:ext xmlns:c16="http://schemas.microsoft.com/office/drawing/2014/chart" uri="{C3380CC4-5D6E-409C-BE32-E72D297353CC}">
                <c16:uniqueId val="{00000005-67EA-4C31-9799-2A17BDB9E3D0}"/>
              </c:ext>
            </c:extLst>
          </c:dPt>
          <c:dPt>
            <c:idx val="3"/>
            <c:bubble3D val="0"/>
            <c:spPr>
              <a:solidFill>
                <a:srgbClr val="FF0000"/>
              </a:solidFill>
              <a:ln w="19050">
                <a:noFill/>
              </a:ln>
              <a:effectLst/>
            </c:spPr>
            <c:extLst>
              <c:ext xmlns:c16="http://schemas.microsoft.com/office/drawing/2014/chart" uri="{C3380CC4-5D6E-409C-BE32-E72D297353CC}">
                <c16:uniqueId val="{00000007-67EA-4C31-9799-2A17BDB9E3D0}"/>
              </c:ext>
            </c:extLst>
          </c:dPt>
          <c:dPt>
            <c:idx val="4"/>
            <c:bubble3D val="0"/>
            <c:spPr>
              <a:solidFill>
                <a:srgbClr val="FF0000"/>
              </a:solidFill>
              <a:ln w="19050">
                <a:noFill/>
              </a:ln>
              <a:effectLst/>
            </c:spPr>
            <c:extLst>
              <c:ext xmlns:c16="http://schemas.microsoft.com/office/drawing/2014/chart" uri="{C3380CC4-5D6E-409C-BE32-E72D297353CC}">
                <c16:uniqueId val="{00000009-67EA-4C31-9799-2A17BDB9E3D0}"/>
              </c:ext>
            </c:extLst>
          </c:dPt>
          <c:dPt>
            <c:idx val="5"/>
            <c:bubble3D val="0"/>
            <c:spPr>
              <a:solidFill>
                <a:srgbClr val="FFC000"/>
              </a:solidFill>
              <a:ln w="19050">
                <a:noFill/>
              </a:ln>
              <a:effectLst/>
            </c:spPr>
            <c:extLst>
              <c:ext xmlns:c16="http://schemas.microsoft.com/office/drawing/2014/chart" uri="{C3380CC4-5D6E-409C-BE32-E72D297353CC}">
                <c16:uniqueId val="{0000000B-67EA-4C31-9799-2A17BDB9E3D0}"/>
              </c:ext>
            </c:extLst>
          </c:dPt>
          <c:dPt>
            <c:idx val="6"/>
            <c:bubble3D val="0"/>
            <c:spPr>
              <a:solidFill>
                <a:srgbClr val="00B050"/>
              </a:solidFill>
              <a:ln w="19050">
                <a:noFill/>
              </a:ln>
              <a:effectLst/>
            </c:spPr>
            <c:extLst>
              <c:ext xmlns:c16="http://schemas.microsoft.com/office/drawing/2014/chart" uri="{C3380CC4-5D6E-409C-BE32-E72D297353CC}">
                <c16:uniqueId val="{0000000D-67EA-4C31-9799-2A17BDB9E3D0}"/>
              </c:ext>
            </c:extLst>
          </c:dPt>
          <c:dPt>
            <c:idx val="7"/>
            <c:bubble3D val="0"/>
            <c:spPr>
              <a:noFill/>
              <a:ln w="19050">
                <a:noFill/>
              </a:ln>
              <a:effectLst/>
            </c:spPr>
            <c:extLst>
              <c:ext xmlns:c16="http://schemas.microsoft.com/office/drawing/2014/chart" uri="{C3380CC4-5D6E-409C-BE32-E72D297353CC}">
                <c16:uniqueId val="{0000000F-67EA-4C31-9799-2A17BDB9E3D0}"/>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67EA-4C31-9799-2A17BDB9E3D0}"/>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67EA-4C31-9799-2A17BDB9E3D0}"/>
              </c:ext>
            </c:extLst>
          </c:dPt>
          <c:dPt>
            <c:idx val="1"/>
            <c:bubble3D val="0"/>
            <c:spPr>
              <a:solidFill>
                <a:schemeClr val="tx1"/>
              </a:solidFill>
              <a:ln w="19050">
                <a:noFill/>
              </a:ln>
              <a:effectLst/>
            </c:spPr>
            <c:extLst>
              <c:ext xmlns:c16="http://schemas.microsoft.com/office/drawing/2014/chart" uri="{C3380CC4-5D6E-409C-BE32-E72D297353CC}">
                <c16:uniqueId val="{00000014-67EA-4C31-9799-2A17BDB9E3D0}"/>
              </c:ext>
            </c:extLst>
          </c:dPt>
          <c:dPt>
            <c:idx val="2"/>
            <c:bubble3D val="0"/>
            <c:spPr>
              <a:noFill/>
              <a:ln w="19050">
                <a:noFill/>
              </a:ln>
              <a:effectLst/>
            </c:spPr>
            <c:extLst>
              <c:ext xmlns:c16="http://schemas.microsoft.com/office/drawing/2014/chart" uri="{C3380CC4-5D6E-409C-BE32-E72D297353CC}">
                <c16:uniqueId val="{00000016-67EA-4C31-9799-2A17BDB9E3D0}"/>
              </c:ext>
            </c:extLst>
          </c:dPt>
          <c:val>
            <c:numRef>
              <c:f>Reference!$J$17:$L$17</c:f>
              <c:numCache>
                <c:formatCode>General</c:formatCode>
                <c:ptCount val="3"/>
                <c:pt idx="0" formatCode="0%">
                  <c:v>1</c:v>
                </c:pt>
                <c:pt idx="1">
                  <c:v>0.03</c:v>
                </c:pt>
                <c:pt idx="2" formatCode="0%">
                  <c:v>0.97</c:v>
                </c:pt>
              </c:numCache>
            </c:numRef>
          </c:val>
          <c:extLst>
            <c:ext xmlns:c16="http://schemas.microsoft.com/office/drawing/2014/chart" uri="{C3380CC4-5D6E-409C-BE32-E72D297353CC}">
              <c16:uniqueId val="{00000017-67EA-4C31-9799-2A17BDB9E3D0}"/>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31D7-41B5-8DDC-67ACB5848635}"/>
              </c:ext>
            </c:extLst>
          </c:dPt>
          <c:dPt>
            <c:idx val="1"/>
            <c:bubble3D val="0"/>
            <c:spPr>
              <a:solidFill>
                <a:srgbClr val="FF0000"/>
              </a:solidFill>
              <a:ln w="19050">
                <a:noFill/>
              </a:ln>
              <a:effectLst/>
            </c:spPr>
            <c:extLst>
              <c:ext xmlns:c16="http://schemas.microsoft.com/office/drawing/2014/chart" uri="{C3380CC4-5D6E-409C-BE32-E72D297353CC}">
                <c16:uniqueId val="{00000003-31D7-41B5-8DDC-67ACB5848635}"/>
              </c:ext>
            </c:extLst>
          </c:dPt>
          <c:dPt>
            <c:idx val="2"/>
            <c:bubble3D val="0"/>
            <c:spPr>
              <a:solidFill>
                <a:srgbClr val="FF0000"/>
              </a:solidFill>
              <a:ln w="19050">
                <a:noFill/>
              </a:ln>
              <a:effectLst/>
            </c:spPr>
            <c:extLst>
              <c:ext xmlns:c16="http://schemas.microsoft.com/office/drawing/2014/chart" uri="{C3380CC4-5D6E-409C-BE32-E72D297353CC}">
                <c16:uniqueId val="{00000005-31D7-41B5-8DDC-67ACB5848635}"/>
              </c:ext>
            </c:extLst>
          </c:dPt>
          <c:dPt>
            <c:idx val="3"/>
            <c:bubble3D val="0"/>
            <c:spPr>
              <a:solidFill>
                <a:srgbClr val="FF0000"/>
              </a:solidFill>
              <a:ln w="19050">
                <a:noFill/>
              </a:ln>
              <a:effectLst/>
            </c:spPr>
            <c:extLst>
              <c:ext xmlns:c16="http://schemas.microsoft.com/office/drawing/2014/chart" uri="{C3380CC4-5D6E-409C-BE32-E72D297353CC}">
                <c16:uniqueId val="{00000007-31D7-41B5-8DDC-67ACB5848635}"/>
              </c:ext>
            </c:extLst>
          </c:dPt>
          <c:dPt>
            <c:idx val="4"/>
            <c:bubble3D val="0"/>
            <c:spPr>
              <a:solidFill>
                <a:srgbClr val="FF0000"/>
              </a:solidFill>
              <a:ln w="19050">
                <a:noFill/>
              </a:ln>
              <a:effectLst/>
            </c:spPr>
            <c:extLst>
              <c:ext xmlns:c16="http://schemas.microsoft.com/office/drawing/2014/chart" uri="{C3380CC4-5D6E-409C-BE32-E72D297353CC}">
                <c16:uniqueId val="{00000009-31D7-41B5-8DDC-67ACB5848635}"/>
              </c:ext>
            </c:extLst>
          </c:dPt>
          <c:dPt>
            <c:idx val="5"/>
            <c:bubble3D val="0"/>
            <c:spPr>
              <a:solidFill>
                <a:srgbClr val="FFC000"/>
              </a:solidFill>
              <a:ln w="19050">
                <a:noFill/>
              </a:ln>
              <a:effectLst/>
            </c:spPr>
            <c:extLst>
              <c:ext xmlns:c16="http://schemas.microsoft.com/office/drawing/2014/chart" uri="{C3380CC4-5D6E-409C-BE32-E72D297353CC}">
                <c16:uniqueId val="{0000000B-31D7-41B5-8DDC-67ACB5848635}"/>
              </c:ext>
            </c:extLst>
          </c:dPt>
          <c:dPt>
            <c:idx val="6"/>
            <c:bubble3D val="0"/>
            <c:spPr>
              <a:solidFill>
                <a:srgbClr val="00B050"/>
              </a:solidFill>
              <a:ln w="19050">
                <a:noFill/>
              </a:ln>
              <a:effectLst/>
            </c:spPr>
            <c:extLst>
              <c:ext xmlns:c16="http://schemas.microsoft.com/office/drawing/2014/chart" uri="{C3380CC4-5D6E-409C-BE32-E72D297353CC}">
                <c16:uniqueId val="{0000000D-31D7-41B5-8DDC-67ACB5848635}"/>
              </c:ext>
            </c:extLst>
          </c:dPt>
          <c:dPt>
            <c:idx val="7"/>
            <c:bubble3D val="0"/>
            <c:spPr>
              <a:noFill/>
              <a:ln w="19050">
                <a:noFill/>
              </a:ln>
              <a:effectLst/>
            </c:spPr>
            <c:extLst>
              <c:ext xmlns:c16="http://schemas.microsoft.com/office/drawing/2014/chart" uri="{C3380CC4-5D6E-409C-BE32-E72D297353CC}">
                <c16:uniqueId val="{0000000F-31D7-41B5-8DDC-67ACB5848635}"/>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31D7-41B5-8DDC-67ACB5848635}"/>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31D7-41B5-8DDC-67ACB5848635}"/>
              </c:ext>
            </c:extLst>
          </c:dPt>
          <c:dPt>
            <c:idx val="1"/>
            <c:bubble3D val="0"/>
            <c:spPr>
              <a:solidFill>
                <a:schemeClr val="tx1"/>
              </a:solidFill>
              <a:ln w="19050">
                <a:noFill/>
              </a:ln>
              <a:effectLst/>
            </c:spPr>
            <c:extLst>
              <c:ext xmlns:c16="http://schemas.microsoft.com/office/drawing/2014/chart" uri="{C3380CC4-5D6E-409C-BE32-E72D297353CC}">
                <c16:uniqueId val="{00000014-31D7-41B5-8DDC-67ACB5848635}"/>
              </c:ext>
            </c:extLst>
          </c:dPt>
          <c:dPt>
            <c:idx val="2"/>
            <c:bubble3D val="0"/>
            <c:spPr>
              <a:noFill/>
              <a:ln w="19050">
                <a:noFill/>
              </a:ln>
              <a:effectLst/>
            </c:spPr>
            <c:extLst>
              <c:ext xmlns:c16="http://schemas.microsoft.com/office/drawing/2014/chart" uri="{C3380CC4-5D6E-409C-BE32-E72D297353CC}">
                <c16:uniqueId val="{00000016-31D7-41B5-8DDC-67ACB5848635}"/>
              </c:ext>
            </c:extLst>
          </c:dPt>
          <c:val>
            <c:numRef>
              <c:f>Reference!$J$17:$L$17</c:f>
              <c:numCache>
                <c:formatCode>General</c:formatCode>
                <c:ptCount val="3"/>
                <c:pt idx="0" formatCode="0%">
                  <c:v>1</c:v>
                </c:pt>
                <c:pt idx="1">
                  <c:v>0.03</c:v>
                </c:pt>
                <c:pt idx="2" formatCode="0%">
                  <c:v>0.97</c:v>
                </c:pt>
              </c:numCache>
            </c:numRef>
          </c:val>
          <c:extLst>
            <c:ext xmlns:c16="http://schemas.microsoft.com/office/drawing/2014/chart" uri="{C3380CC4-5D6E-409C-BE32-E72D297353CC}">
              <c16:uniqueId val="{00000017-31D7-41B5-8DDC-67ACB5848635}"/>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B495-4CC8-B8C5-04CEA6ACA479}"/>
              </c:ext>
            </c:extLst>
          </c:dPt>
          <c:dPt>
            <c:idx val="1"/>
            <c:bubble3D val="0"/>
            <c:spPr>
              <a:solidFill>
                <a:srgbClr val="FF0000"/>
              </a:solidFill>
              <a:ln w="19050">
                <a:noFill/>
              </a:ln>
              <a:effectLst/>
            </c:spPr>
            <c:extLst>
              <c:ext xmlns:c16="http://schemas.microsoft.com/office/drawing/2014/chart" uri="{C3380CC4-5D6E-409C-BE32-E72D297353CC}">
                <c16:uniqueId val="{00000003-B495-4CC8-B8C5-04CEA6ACA479}"/>
              </c:ext>
            </c:extLst>
          </c:dPt>
          <c:dPt>
            <c:idx val="2"/>
            <c:bubble3D val="0"/>
            <c:spPr>
              <a:solidFill>
                <a:srgbClr val="FF0000"/>
              </a:solidFill>
              <a:ln w="19050">
                <a:noFill/>
              </a:ln>
              <a:effectLst/>
            </c:spPr>
            <c:extLst>
              <c:ext xmlns:c16="http://schemas.microsoft.com/office/drawing/2014/chart" uri="{C3380CC4-5D6E-409C-BE32-E72D297353CC}">
                <c16:uniqueId val="{00000005-B495-4CC8-B8C5-04CEA6ACA479}"/>
              </c:ext>
            </c:extLst>
          </c:dPt>
          <c:dPt>
            <c:idx val="3"/>
            <c:bubble3D val="0"/>
            <c:spPr>
              <a:solidFill>
                <a:srgbClr val="FF0000"/>
              </a:solidFill>
              <a:ln w="19050">
                <a:noFill/>
              </a:ln>
              <a:effectLst/>
            </c:spPr>
            <c:extLst>
              <c:ext xmlns:c16="http://schemas.microsoft.com/office/drawing/2014/chart" uri="{C3380CC4-5D6E-409C-BE32-E72D297353CC}">
                <c16:uniqueId val="{00000007-B495-4CC8-B8C5-04CEA6ACA479}"/>
              </c:ext>
            </c:extLst>
          </c:dPt>
          <c:dPt>
            <c:idx val="4"/>
            <c:bubble3D val="0"/>
            <c:spPr>
              <a:solidFill>
                <a:srgbClr val="FF0000"/>
              </a:solidFill>
              <a:ln w="19050">
                <a:noFill/>
              </a:ln>
              <a:effectLst/>
            </c:spPr>
            <c:extLst>
              <c:ext xmlns:c16="http://schemas.microsoft.com/office/drawing/2014/chart" uri="{C3380CC4-5D6E-409C-BE32-E72D297353CC}">
                <c16:uniqueId val="{00000009-B495-4CC8-B8C5-04CEA6ACA479}"/>
              </c:ext>
            </c:extLst>
          </c:dPt>
          <c:dPt>
            <c:idx val="5"/>
            <c:bubble3D val="0"/>
            <c:spPr>
              <a:solidFill>
                <a:srgbClr val="FFC000"/>
              </a:solidFill>
              <a:ln w="19050">
                <a:noFill/>
              </a:ln>
              <a:effectLst/>
            </c:spPr>
            <c:extLst>
              <c:ext xmlns:c16="http://schemas.microsoft.com/office/drawing/2014/chart" uri="{C3380CC4-5D6E-409C-BE32-E72D297353CC}">
                <c16:uniqueId val="{0000000B-B495-4CC8-B8C5-04CEA6ACA479}"/>
              </c:ext>
            </c:extLst>
          </c:dPt>
          <c:dPt>
            <c:idx val="6"/>
            <c:bubble3D val="0"/>
            <c:spPr>
              <a:solidFill>
                <a:srgbClr val="00B050"/>
              </a:solidFill>
              <a:ln w="19050">
                <a:noFill/>
              </a:ln>
              <a:effectLst/>
            </c:spPr>
            <c:extLst>
              <c:ext xmlns:c16="http://schemas.microsoft.com/office/drawing/2014/chart" uri="{C3380CC4-5D6E-409C-BE32-E72D297353CC}">
                <c16:uniqueId val="{0000000D-B495-4CC8-B8C5-04CEA6ACA479}"/>
              </c:ext>
            </c:extLst>
          </c:dPt>
          <c:dPt>
            <c:idx val="7"/>
            <c:bubble3D val="0"/>
            <c:spPr>
              <a:noFill/>
              <a:ln w="19050">
                <a:noFill/>
              </a:ln>
              <a:effectLst/>
            </c:spPr>
            <c:extLst>
              <c:ext xmlns:c16="http://schemas.microsoft.com/office/drawing/2014/chart" uri="{C3380CC4-5D6E-409C-BE32-E72D297353CC}">
                <c16:uniqueId val="{0000000F-B495-4CC8-B8C5-04CEA6ACA479}"/>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B495-4CC8-B8C5-04CEA6ACA479}"/>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B495-4CC8-B8C5-04CEA6ACA479}"/>
              </c:ext>
            </c:extLst>
          </c:dPt>
          <c:dPt>
            <c:idx val="1"/>
            <c:bubble3D val="0"/>
            <c:spPr>
              <a:solidFill>
                <a:schemeClr val="tx1"/>
              </a:solidFill>
              <a:ln w="19050">
                <a:noFill/>
              </a:ln>
              <a:effectLst/>
            </c:spPr>
            <c:extLst>
              <c:ext xmlns:c16="http://schemas.microsoft.com/office/drawing/2014/chart" uri="{C3380CC4-5D6E-409C-BE32-E72D297353CC}">
                <c16:uniqueId val="{00000014-B495-4CC8-B8C5-04CEA6ACA479}"/>
              </c:ext>
            </c:extLst>
          </c:dPt>
          <c:dPt>
            <c:idx val="2"/>
            <c:bubble3D val="0"/>
            <c:spPr>
              <a:noFill/>
              <a:ln w="19050">
                <a:noFill/>
              </a:ln>
              <a:effectLst/>
            </c:spPr>
            <c:extLst>
              <c:ext xmlns:c16="http://schemas.microsoft.com/office/drawing/2014/chart" uri="{C3380CC4-5D6E-409C-BE32-E72D297353CC}">
                <c16:uniqueId val="{00000016-B495-4CC8-B8C5-04CEA6ACA479}"/>
              </c:ext>
            </c:extLst>
          </c:dPt>
          <c:val>
            <c:numRef>
              <c:f>Reference!$R$17:$T$17</c:f>
              <c:numCache>
                <c:formatCode>General</c:formatCode>
                <c:ptCount val="3"/>
                <c:pt idx="0" formatCode="0%">
                  <c:v>1</c:v>
                </c:pt>
                <c:pt idx="1">
                  <c:v>0.03</c:v>
                </c:pt>
                <c:pt idx="2">
                  <c:v>0.97</c:v>
                </c:pt>
              </c:numCache>
            </c:numRef>
          </c:val>
          <c:extLst>
            <c:ext xmlns:c16="http://schemas.microsoft.com/office/drawing/2014/chart" uri="{C3380CC4-5D6E-409C-BE32-E72D297353CC}">
              <c16:uniqueId val="{00000017-B495-4CC8-B8C5-04CEA6ACA479}"/>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92FC-4AC9-B8B1-12405081AAA4}"/>
              </c:ext>
            </c:extLst>
          </c:dPt>
          <c:dPt>
            <c:idx val="1"/>
            <c:bubble3D val="0"/>
            <c:spPr>
              <a:solidFill>
                <a:srgbClr val="FF0000"/>
              </a:solidFill>
              <a:ln w="19050">
                <a:noFill/>
              </a:ln>
              <a:effectLst/>
            </c:spPr>
            <c:extLst>
              <c:ext xmlns:c16="http://schemas.microsoft.com/office/drawing/2014/chart" uri="{C3380CC4-5D6E-409C-BE32-E72D297353CC}">
                <c16:uniqueId val="{00000003-92FC-4AC9-B8B1-12405081AAA4}"/>
              </c:ext>
            </c:extLst>
          </c:dPt>
          <c:dPt>
            <c:idx val="2"/>
            <c:bubble3D val="0"/>
            <c:spPr>
              <a:solidFill>
                <a:srgbClr val="FF0000"/>
              </a:solidFill>
              <a:ln w="19050">
                <a:noFill/>
              </a:ln>
              <a:effectLst/>
            </c:spPr>
            <c:extLst>
              <c:ext xmlns:c16="http://schemas.microsoft.com/office/drawing/2014/chart" uri="{C3380CC4-5D6E-409C-BE32-E72D297353CC}">
                <c16:uniqueId val="{00000005-92FC-4AC9-B8B1-12405081AAA4}"/>
              </c:ext>
            </c:extLst>
          </c:dPt>
          <c:dPt>
            <c:idx val="3"/>
            <c:bubble3D val="0"/>
            <c:spPr>
              <a:solidFill>
                <a:srgbClr val="FF0000"/>
              </a:solidFill>
              <a:ln w="19050">
                <a:noFill/>
              </a:ln>
              <a:effectLst/>
            </c:spPr>
            <c:extLst>
              <c:ext xmlns:c16="http://schemas.microsoft.com/office/drawing/2014/chart" uri="{C3380CC4-5D6E-409C-BE32-E72D297353CC}">
                <c16:uniqueId val="{00000007-92FC-4AC9-B8B1-12405081AAA4}"/>
              </c:ext>
            </c:extLst>
          </c:dPt>
          <c:dPt>
            <c:idx val="4"/>
            <c:bubble3D val="0"/>
            <c:spPr>
              <a:solidFill>
                <a:srgbClr val="FF0000"/>
              </a:solidFill>
              <a:ln w="19050">
                <a:noFill/>
              </a:ln>
              <a:effectLst/>
            </c:spPr>
            <c:extLst>
              <c:ext xmlns:c16="http://schemas.microsoft.com/office/drawing/2014/chart" uri="{C3380CC4-5D6E-409C-BE32-E72D297353CC}">
                <c16:uniqueId val="{00000009-92FC-4AC9-B8B1-12405081AAA4}"/>
              </c:ext>
            </c:extLst>
          </c:dPt>
          <c:dPt>
            <c:idx val="5"/>
            <c:bubble3D val="0"/>
            <c:spPr>
              <a:solidFill>
                <a:srgbClr val="FFC000"/>
              </a:solidFill>
              <a:ln w="19050">
                <a:noFill/>
              </a:ln>
              <a:effectLst/>
            </c:spPr>
            <c:extLst>
              <c:ext xmlns:c16="http://schemas.microsoft.com/office/drawing/2014/chart" uri="{C3380CC4-5D6E-409C-BE32-E72D297353CC}">
                <c16:uniqueId val="{0000000B-92FC-4AC9-B8B1-12405081AAA4}"/>
              </c:ext>
            </c:extLst>
          </c:dPt>
          <c:dPt>
            <c:idx val="6"/>
            <c:bubble3D val="0"/>
            <c:spPr>
              <a:solidFill>
                <a:srgbClr val="00B050"/>
              </a:solidFill>
              <a:ln w="19050">
                <a:noFill/>
              </a:ln>
              <a:effectLst/>
            </c:spPr>
            <c:extLst>
              <c:ext xmlns:c16="http://schemas.microsoft.com/office/drawing/2014/chart" uri="{C3380CC4-5D6E-409C-BE32-E72D297353CC}">
                <c16:uniqueId val="{0000000D-92FC-4AC9-B8B1-12405081AAA4}"/>
              </c:ext>
            </c:extLst>
          </c:dPt>
          <c:dPt>
            <c:idx val="7"/>
            <c:bubble3D val="0"/>
            <c:spPr>
              <a:noFill/>
              <a:ln w="19050">
                <a:noFill/>
              </a:ln>
              <a:effectLst/>
            </c:spPr>
            <c:extLst>
              <c:ext xmlns:c16="http://schemas.microsoft.com/office/drawing/2014/chart" uri="{C3380CC4-5D6E-409C-BE32-E72D297353CC}">
                <c16:uniqueId val="{0000000F-92FC-4AC9-B8B1-12405081AAA4}"/>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92FC-4AC9-B8B1-12405081AAA4}"/>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92FC-4AC9-B8B1-12405081AAA4}"/>
              </c:ext>
            </c:extLst>
          </c:dPt>
          <c:dPt>
            <c:idx val="1"/>
            <c:bubble3D val="0"/>
            <c:spPr>
              <a:solidFill>
                <a:schemeClr val="tx1"/>
              </a:solidFill>
              <a:ln w="19050">
                <a:noFill/>
              </a:ln>
              <a:effectLst/>
            </c:spPr>
            <c:extLst>
              <c:ext xmlns:c16="http://schemas.microsoft.com/office/drawing/2014/chart" uri="{C3380CC4-5D6E-409C-BE32-E72D297353CC}">
                <c16:uniqueId val="{00000014-92FC-4AC9-B8B1-12405081AAA4}"/>
              </c:ext>
            </c:extLst>
          </c:dPt>
          <c:dPt>
            <c:idx val="2"/>
            <c:bubble3D val="0"/>
            <c:spPr>
              <a:noFill/>
              <a:ln w="19050">
                <a:noFill/>
              </a:ln>
              <a:effectLst/>
            </c:spPr>
            <c:extLst>
              <c:ext xmlns:c16="http://schemas.microsoft.com/office/drawing/2014/chart" uri="{C3380CC4-5D6E-409C-BE32-E72D297353CC}">
                <c16:uniqueId val="{00000016-92FC-4AC9-B8B1-12405081AAA4}"/>
              </c:ext>
            </c:extLst>
          </c:dPt>
          <c:val>
            <c:numRef>
              <c:f>Reference!$B$76:$D$76</c:f>
              <c:numCache>
                <c:formatCode>General</c:formatCode>
                <c:ptCount val="3"/>
                <c:pt idx="0" formatCode="0%">
                  <c:v>1</c:v>
                </c:pt>
                <c:pt idx="1">
                  <c:v>0.03</c:v>
                </c:pt>
                <c:pt idx="2">
                  <c:v>0.97</c:v>
                </c:pt>
              </c:numCache>
            </c:numRef>
          </c:val>
          <c:extLst>
            <c:ext xmlns:c16="http://schemas.microsoft.com/office/drawing/2014/chart" uri="{C3380CC4-5D6E-409C-BE32-E72D297353CC}">
              <c16:uniqueId val="{00000017-92FC-4AC9-B8B1-12405081AAA4}"/>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92EA-434F-A9AD-6117DE844F46}"/>
              </c:ext>
            </c:extLst>
          </c:dPt>
          <c:dPt>
            <c:idx val="1"/>
            <c:bubble3D val="0"/>
            <c:spPr>
              <a:solidFill>
                <a:srgbClr val="FF0000"/>
              </a:solidFill>
              <a:ln w="19050">
                <a:noFill/>
              </a:ln>
              <a:effectLst/>
            </c:spPr>
            <c:extLst>
              <c:ext xmlns:c16="http://schemas.microsoft.com/office/drawing/2014/chart" uri="{C3380CC4-5D6E-409C-BE32-E72D297353CC}">
                <c16:uniqueId val="{00000003-92EA-434F-A9AD-6117DE844F46}"/>
              </c:ext>
            </c:extLst>
          </c:dPt>
          <c:dPt>
            <c:idx val="2"/>
            <c:bubble3D val="0"/>
            <c:spPr>
              <a:solidFill>
                <a:srgbClr val="FF0000"/>
              </a:solidFill>
              <a:ln w="19050">
                <a:noFill/>
              </a:ln>
              <a:effectLst/>
            </c:spPr>
            <c:extLst>
              <c:ext xmlns:c16="http://schemas.microsoft.com/office/drawing/2014/chart" uri="{C3380CC4-5D6E-409C-BE32-E72D297353CC}">
                <c16:uniqueId val="{00000005-92EA-434F-A9AD-6117DE844F46}"/>
              </c:ext>
            </c:extLst>
          </c:dPt>
          <c:dPt>
            <c:idx val="3"/>
            <c:bubble3D val="0"/>
            <c:spPr>
              <a:solidFill>
                <a:srgbClr val="FF0000"/>
              </a:solidFill>
              <a:ln w="19050">
                <a:noFill/>
              </a:ln>
              <a:effectLst/>
            </c:spPr>
            <c:extLst>
              <c:ext xmlns:c16="http://schemas.microsoft.com/office/drawing/2014/chart" uri="{C3380CC4-5D6E-409C-BE32-E72D297353CC}">
                <c16:uniqueId val="{00000007-92EA-434F-A9AD-6117DE844F46}"/>
              </c:ext>
            </c:extLst>
          </c:dPt>
          <c:dPt>
            <c:idx val="4"/>
            <c:bubble3D val="0"/>
            <c:spPr>
              <a:solidFill>
                <a:srgbClr val="FF0000"/>
              </a:solidFill>
              <a:ln w="19050">
                <a:noFill/>
              </a:ln>
              <a:effectLst/>
            </c:spPr>
            <c:extLst>
              <c:ext xmlns:c16="http://schemas.microsoft.com/office/drawing/2014/chart" uri="{C3380CC4-5D6E-409C-BE32-E72D297353CC}">
                <c16:uniqueId val="{00000009-92EA-434F-A9AD-6117DE844F46}"/>
              </c:ext>
            </c:extLst>
          </c:dPt>
          <c:dPt>
            <c:idx val="5"/>
            <c:bubble3D val="0"/>
            <c:spPr>
              <a:solidFill>
                <a:srgbClr val="FFC000"/>
              </a:solidFill>
              <a:ln w="19050">
                <a:noFill/>
              </a:ln>
              <a:effectLst/>
            </c:spPr>
            <c:extLst>
              <c:ext xmlns:c16="http://schemas.microsoft.com/office/drawing/2014/chart" uri="{C3380CC4-5D6E-409C-BE32-E72D297353CC}">
                <c16:uniqueId val="{0000000B-92EA-434F-A9AD-6117DE844F46}"/>
              </c:ext>
            </c:extLst>
          </c:dPt>
          <c:dPt>
            <c:idx val="6"/>
            <c:bubble3D val="0"/>
            <c:spPr>
              <a:solidFill>
                <a:srgbClr val="00B050"/>
              </a:solidFill>
              <a:ln w="19050">
                <a:noFill/>
              </a:ln>
              <a:effectLst/>
            </c:spPr>
            <c:extLst>
              <c:ext xmlns:c16="http://schemas.microsoft.com/office/drawing/2014/chart" uri="{C3380CC4-5D6E-409C-BE32-E72D297353CC}">
                <c16:uniqueId val="{0000000D-92EA-434F-A9AD-6117DE844F46}"/>
              </c:ext>
            </c:extLst>
          </c:dPt>
          <c:dPt>
            <c:idx val="7"/>
            <c:bubble3D val="0"/>
            <c:spPr>
              <a:noFill/>
              <a:ln w="19050">
                <a:noFill/>
              </a:ln>
              <a:effectLst/>
            </c:spPr>
            <c:extLst>
              <c:ext xmlns:c16="http://schemas.microsoft.com/office/drawing/2014/chart" uri="{C3380CC4-5D6E-409C-BE32-E72D297353CC}">
                <c16:uniqueId val="{0000000F-92EA-434F-A9AD-6117DE844F46}"/>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92EA-434F-A9AD-6117DE844F46}"/>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92EA-434F-A9AD-6117DE844F46}"/>
              </c:ext>
            </c:extLst>
          </c:dPt>
          <c:dPt>
            <c:idx val="1"/>
            <c:bubble3D val="0"/>
            <c:spPr>
              <a:solidFill>
                <a:schemeClr val="tx1"/>
              </a:solidFill>
              <a:ln w="19050">
                <a:noFill/>
              </a:ln>
              <a:effectLst/>
            </c:spPr>
            <c:extLst>
              <c:ext xmlns:c16="http://schemas.microsoft.com/office/drawing/2014/chart" uri="{C3380CC4-5D6E-409C-BE32-E72D297353CC}">
                <c16:uniqueId val="{00000014-92EA-434F-A9AD-6117DE844F46}"/>
              </c:ext>
            </c:extLst>
          </c:dPt>
          <c:dPt>
            <c:idx val="2"/>
            <c:bubble3D val="0"/>
            <c:spPr>
              <a:noFill/>
              <a:ln w="19050">
                <a:noFill/>
              </a:ln>
              <a:effectLst/>
            </c:spPr>
            <c:extLst>
              <c:ext xmlns:c16="http://schemas.microsoft.com/office/drawing/2014/chart" uri="{C3380CC4-5D6E-409C-BE32-E72D297353CC}">
                <c16:uniqueId val="{00000016-92EA-434F-A9AD-6117DE844F46}"/>
              </c:ext>
            </c:extLst>
          </c:dPt>
          <c:val>
            <c:numRef>
              <c:f>Reference!$J$28:$L$28</c:f>
              <c:numCache>
                <c:formatCode>General</c:formatCode>
                <c:ptCount val="3"/>
                <c:pt idx="0" formatCode="0%">
                  <c:v>0.218</c:v>
                </c:pt>
                <c:pt idx="1">
                  <c:v>7.0000000000000001E-3</c:v>
                </c:pt>
                <c:pt idx="2" formatCode="0.00">
                  <c:v>0.22500000000000001</c:v>
                </c:pt>
              </c:numCache>
            </c:numRef>
          </c:val>
          <c:extLst>
            <c:ext xmlns:c16="http://schemas.microsoft.com/office/drawing/2014/chart" uri="{C3380CC4-5D6E-409C-BE32-E72D297353CC}">
              <c16:uniqueId val="{00000017-92EA-434F-A9AD-6117DE844F46}"/>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6217-47B6-BD37-D78C1D081AF3}"/>
              </c:ext>
            </c:extLst>
          </c:dPt>
          <c:dPt>
            <c:idx val="1"/>
            <c:bubble3D val="0"/>
            <c:spPr>
              <a:solidFill>
                <a:srgbClr val="FF0000"/>
              </a:solidFill>
              <a:ln w="19050">
                <a:noFill/>
              </a:ln>
              <a:effectLst/>
            </c:spPr>
            <c:extLst>
              <c:ext xmlns:c16="http://schemas.microsoft.com/office/drawing/2014/chart" uri="{C3380CC4-5D6E-409C-BE32-E72D297353CC}">
                <c16:uniqueId val="{00000003-6217-47B6-BD37-D78C1D081AF3}"/>
              </c:ext>
            </c:extLst>
          </c:dPt>
          <c:dPt>
            <c:idx val="2"/>
            <c:bubble3D val="0"/>
            <c:spPr>
              <a:solidFill>
                <a:srgbClr val="FF0000"/>
              </a:solidFill>
              <a:ln w="19050">
                <a:noFill/>
              </a:ln>
              <a:effectLst/>
            </c:spPr>
            <c:extLst>
              <c:ext xmlns:c16="http://schemas.microsoft.com/office/drawing/2014/chart" uri="{C3380CC4-5D6E-409C-BE32-E72D297353CC}">
                <c16:uniqueId val="{00000005-6217-47B6-BD37-D78C1D081AF3}"/>
              </c:ext>
            </c:extLst>
          </c:dPt>
          <c:dPt>
            <c:idx val="3"/>
            <c:bubble3D val="0"/>
            <c:spPr>
              <a:solidFill>
                <a:srgbClr val="FF0000"/>
              </a:solidFill>
              <a:ln w="19050">
                <a:noFill/>
              </a:ln>
              <a:effectLst/>
            </c:spPr>
            <c:extLst>
              <c:ext xmlns:c16="http://schemas.microsoft.com/office/drawing/2014/chart" uri="{C3380CC4-5D6E-409C-BE32-E72D297353CC}">
                <c16:uniqueId val="{00000007-6217-47B6-BD37-D78C1D081AF3}"/>
              </c:ext>
            </c:extLst>
          </c:dPt>
          <c:dPt>
            <c:idx val="4"/>
            <c:bubble3D val="0"/>
            <c:spPr>
              <a:solidFill>
                <a:srgbClr val="FF0000"/>
              </a:solidFill>
              <a:ln w="19050">
                <a:noFill/>
              </a:ln>
              <a:effectLst/>
            </c:spPr>
            <c:extLst>
              <c:ext xmlns:c16="http://schemas.microsoft.com/office/drawing/2014/chart" uri="{C3380CC4-5D6E-409C-BE32-E72D297353CC}">
                <c16:uniqueId val="{00000009-6217-47B6-BD37-D78C1D081AF3}"/>
              </c:ext>
            </c:extLst>
          </c:dPt>
          <c:dPt>
            <c:idx val="5"/>
            <c:bubble3D val="0"/>
            <c:spPr>
              <a:solidFill>
                <a:srgbClr val="FFC000"/>
              </a:solidFill>
              <a:ln w="19050">
                <a:noFill/>
              </a:ln>
              <a:effectLst/>
            </c:spPr>
            <c:extLst>
              <c:ext xmlns:c16="http://schemas.microsoft.com/office/drawing/2014/chart" uri="{C3380CC4-5D6E-409C-BE32-E72D297353CC}">
                <c16:uniqueId val="{0000000B-6217-47B6-BD37-D78C1D081AF3}"/>
              </c:ext>
            </c:extLst>
          </c:dPt>
          <c:dPt>
            <c:idx val="6"/>
            <c:bubble3D val="0"/>
            <c:spPr>
              <a:solidFill>
                <a:srgbClr val="00B050"/>
              </a:solidFill>
              <a:ln w="19050">
                <a:noFill/>
              </a:ln>
              <a:effectLst/>
            </c:spPr>
            <c:extLst>
              <c:ext xmlns:c16="http://schemas.microsoft.com/office/drawing/2014/chart" uri="{C3380CC4-5D6E-409C-BE32-E72D297353CC}">
                <c16:uniqueId val="{0000000D-6217-47B6-BD37-D78C1D081AF3}"/>
              </c:ext>
            </c:extLst>
          </c:dPt>
          <c:dPt>
            <c:idx val="7"/>
            <c:bubble3D val="0"/>
            <c:spPr>
              <a:noFill/>
              <a:ln w="19050">
                <a:noFill/>
              </a:ln>
              <a:effectLst/>
            </c:spPr>
            <c:extLst>
              <c:ext xmlns:c16="http://schemas.microsoft.com/office/drawing/2014/chart" uri="{C3380CC4-5D6E-409C-BE32-E72D297353CC}">
                <c16:uniqueId val="{0000000F-6217-47B6-BD37-D78C1D081AF3}"/>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6217-47B6-BD37-D78C1D081AF3}"/>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6217-47B6-BD37-D78C1D081AF3}"/>
              </c:ext>
            </c:extLst>
          </c:dPt>
          <c:dPt>
            <c:idx val="1"/>
            <c:bubble3D val="0"/>
            <c:spPr>
              <a:solidFill>
                <a:schemeClr val="tx1"/>
              </a:solidFill>
              <a:ln w="19050">
                <a:noFill/>
              </a:ln>
              <a:effectLst/>
            </c:spPr>
            <c:extLst>
              <c:ext xmlns:c16="http://schemas.microsoft.com/office/drawing/2014/chart" uri="{C3380CC4-5D6E-409C-BE32-E72D297353CC}">
                <c16:uniqueId val="{00000014-6217-47B6-BD37-D78C1D081AF3}"/>
              </c:ext>
            </c:extLst>
          </c:dPt>
          <c:dPt>
            <c:idx val="2"/>
            <c:bubble3D val="0"/>
            <c:spPr>
              <a:noFill/>
              <a:ln w="19050">
                <a:noFill/>
              </a:ln>
              <a:effectLst/>
            </c:spPr>
            <c:extLst>
              <c:ext xmlns:c16="http://schemas.microsoft.com/office/drawing/2014/chart" uri="{C3380CC4-5D6E-409C-BE32-E72D297353CC}">
                <c16:uniqueId val="{00000016-6217-47B6-BD37-D78C1D081AF3}"/>
              </c:ext>
            </c:extLst>
          </c:dPt>
          <c:val>
            <c:numRef>
              <c:f>Reference!$B$38:$D$38</c:f>
              <c:numCache>
                <c:formatCode>General</c:formatCode>
                <c:ptCount val="3"/>
                <c:pt idx="0" formatCode="0%">
                  <c:v>1</c:v>
                </c:pt>
                <c:pt idx="1">
                  <c:v>0.03</c:v>
                </c:pt>
                <c:pt idx="2">
                  <c:v>0.97</c:v>
                </c:pt>
              </c:numCache>
            </c:numRef>
          </c:val>
          <c:extLst>
            <c:ext xmlns:c16="http://schemas.microsoft.com/office/drawing/2014/chart" uri="{C3380CC4-5D6E-409C-BE32-E72D297353CC}">
              <c16:uniqueId val="{00000017-6217-47B6-BD37-D78C1D081AF3}"/>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8BE4-4421-8E50-9D71CC69AD25}"/>
              </c:ext>
            </c:extLst>
          </c:dPt>
          <c:dPt>
            <c:idx val="1"/>
            <c:bubble3D val="0"/>
            <c:spPr>
              <a:solidFill>
                <a:srgbClr val="FF0000"/>
              </a:solidFill>
              <a:ln w="19050">
                <a:noFill/>
              </a:ln>
              <a:effectLst/>
            </c:spPr>
            <c:extLst>
              <c:ext xmlns:c16="http://schemas.microsoft.com/office/drawing/2014/chart" uri="{C3380CC4-5D6E-409C-BE32-E72D297353CC}">
                <c16:uniqueId val="{00000003-8BE4-4421-8E50-9D71CC69AD25}"/>
              </c:ext>
            </c:extLst>
          </c:dPt>
          <c:dPt>
            <c:idx val="2"/>
            <c:bubble3D val="0"/>
            <c:spPr>
              <a:solidFill>
                <a:srgbClr val="FF0000"/>
              </a:solidFill>
              <a:ln w="19050">
                <a:noFill/>
              </a:ln>
              <a:effectLst/>
            </c:spPr>
            <c:extLst>
              <c:ext xmlns:c16="http://schemas.microsoft.com/office/drawing/2014/chart" uri="{C3380CC4-5D6E-409C-BE32-E72D297353CC}">
                <c16:uniqueId val="{00000005-8BE4-4421-8E50-9D71CC69AD25}"/>
              </c:ext>
            </c:extLst>
          </c:dPt>
          <c:dPt>
            <c:idx val="3"/>
            <c:bubble3D val="0"/>
            <c:spPr>
              <a:solidFill>
                <a:srgbClr val="FF0000"/>
              </a:solidFill>
              <a:ln w="19050">
                <a:noFill/>
              </a:ln>
              <a:effectLst/>
            </c:spPr>
            <c:extLst>
              <c:ext xmlns:c16="http://schemas.microsoft.com/office/drawing/2014/chart" uri="{C3380CC4-5D6E-409C-BE32-E72D297353CC}">
                <c16:uniqueId val="{00000007-8BE4-4421-8E50-9D71CC69AD25}"/>
              </c:ext>
            </c:extLst>
          </c:dPt>
          <c:dPt>
            <c:idx val="4"/>
            <c:bubble3D val="0"/>
            <c:spPr>
              <a:solidFill>
                <a:srgbClr val="FF0000"/>
              </a:solidFill>
              <a:ln w="19050">
                <a:noFill/>
              </a:ln>
              <a:effectLst/>
            </c:spPr>
            <c:extLst>
              <c:ext xmlns:c16="http://schemas.microsoft.com/office/drawing/2014/chart" uri="{C3380CC4-5D6E-409C-BE32-E72D297353CC}">
                <c16:uniqueId val="{00000009-8BE4-4421-8E50-9D71CC69AD25}"/>
              </c:ext>
            </c:extLst>
          </c:dPt>
          <c:dPt>
            <c:idx val="5"/>
            <c:bubble3D val="0"/>
            <c:spPr>
              <a:solidFill>
                <a:srgbClr val="FFC000"/>
              </a:solidFill>
              <a:ln w="19050">
                <a:noFill/>
              </a:ln>
              <a:effectLst/>
            </c:spPr>
            <c:extLst>
              <c:ext xmlns:c16="http://schemas.microsoft.com/office/drawing/2014/chart" uri="{C3380CC4-5D6E-409C-BE32-E72D297353CC}">
                <c16:uniqueId val="{0000000B-8BE4-4421-8E50-9D71CC69AD25}"/>
              </c:ext>
            </c:extLst>
          </c:dPt>
          <c:dPt>
            <c:idx val="6"/>
            <c:bubble3D val="0"/>
            <c:spPr>
              <a:solidFill>
                <a:srgbClr val="00B050"/>
              </a:solidFill>
              <a:ln w="19050">
                <a:noFill/>
              </a:ln>
              <a:effectLst/>
            </c:spPr>
            <c:extLst>
              <c:ext xmlns:c16="http://schemas.microsoft.com/office/drawing/2014/chart" uri="{C3380CC4-5D6E-409C-BE32-E72D297353CC}">
                <c16:uniqueId val="{0000000D-8BE4-4421-8E50-9D71CC69AD25}"/>
              </c:ext>
            </c:extLst>
          </c:dPt>
          <c:dPt>
            <c:idx val="7"/>
            <c:bubble3D val="0"/>
            <c:spPr>
              <a:noFill/>
              <a:ln w="19050">
                <a:noFill/>
              </a:ln>
              <a:effectLst/>
            </c:spPr>
            <c:extLst>
              <c:ext xmlns:c16="http://schemas.microsoft.com/office/drawing/2014/chart" uri="{C3380CC4-5D6E-409C-BE32-E72D297353CC}">
                <c16:uniqueId val="{0000000F-8BE4-4421-8E50-9D71CC69AD25}"/>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8BE4-4421-8E50-9D71CC69AD25}"/>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8BE4-4421-8E50-9D71CC69AD25}"/>
              </c:ext>
            </c:extLst>
          </c:dPt>
          <c:dPt>
            <c:idx val="1"/>
            <c:bubble3D val="0"/>
            <c:spPr>
              <a:solidFill>
                <a:schemeClr val="tx1"/>
              </a:solidFill>
              <a:ln w="19050">
                <a:noFill/>
              </a:ln>
              <a:effectLst/>
            </c:spPr>
            <c:extLst>
              <c:ext xmlns:c16="http://schemas.microsoft.com/office/drawing/2014/chart" uri="{C3380CC4-5D6E-409C-BE32-E72D297353CC}">
                <c16:uniqueId val="{00000014-8BE4-4421-8E50-9D71CC69AD25}"/>
              </c:ext>
            </c:extLst>
          </c:dPt>
          <c:dPt>
            <c:idx val="2"/>
            <c:bubble3D val="0"/>
            <c:spPr>
              <a:noFill/>
              <a:ln w="19050">
                <a:noFill/>
              </a:ln>
              <a:effectLst/>
            </c:spPr>
            <c:extLst>
              <c:ext xmlns:c16="http://schemas.microsoft.com/office/drawing/2014/chart" uri="{C3380CC4-5D6E-409C-BE32-E72D297353CC}">
                <c16:uniqueId val="{00000016-8BE4-4421-8E50-9D71CC69AD25}"/>
              </c:ext>
            </c:extLst>
          </c:dPt>
          <c:val>
            <c:numRef>
              <c:f>Reference!$J$28:$L$28</c:f>
              <c:numCache>
                <c:formatCode>General</c:formatCode>
                <c:ptCount val="3"/>
                <c:pt idx="0" formatCode="0%">
                  <c:v>0.218</c:v>
                </c:pt>
                <c:pt idx="1">
                  <c:v>7.0000000000000001E-3</c:v>
                </c:pt>
                <c:pt idx="2" formatCode="0.00">
                  <c:v>0.22500000000000001</c:v>
                </c:pt>
              </c:numCache>
            </c:numRef>
          </c:val>
          <c:extLst>
            <c:ext xmlns:c16="http://schemas.microsoft.com/office/drawing/2014/chart" uri="{C3380CC4-5D6E-409C-BE32-E72D297353CC}">
              <c16:uniqueId val="{00000017-8BE4-4421-8E50-9D71CC69AD25}"/>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EC8C-4A96-9F51-DFFEA7647C68}"/>
              </c:ext>
            </c:extLst>
          </c:dPt>
          <c:dPt>
            <c:idx val="1"/>
            <c:bubble3D val="0"/>
            <c:spPr>
              <a:solidFill>
                <a:srgbClr val="FF0000"/>
              </a:solidFill>
              <a:ln w="19050">
                <a:noFill/>
              </a:ln>
              <a:effectLst/>
            </c:spPr>
            <c:extLst>
              <c:ext xmlns:c16="http://schemas.microsoft.com/office/drawing/2014/chart" uri="{C3380CC4-5D6E-409C-BE32-E72D297353CC}">
                <c16:uniqueId val="{00000003-EC8C-4A96-9F51-DFFEA7647C68}"/>
              </c:ext>
            </c:extLst>
          </c:dPt>
          <c:dPt>
            <c:idx val="2"/>
            <c:bubble3D val="0"/>
            <c:spPr>
              <a:solidFill>
                <a:srgbClr val="FF0000"/>
              </a:solidFill>
              <a:ln w="19050">
                <a:noFill/>
              </a:ln>
              <a:effectLst/>
            </c:spPr>
            <c:extLst>
              <c:ext xmlns:c16="http://schemas.microsoft.com/office/drawing/2014/chart" uri="{C3380CC4-5D6E-409C-BE32-E72D297353CC}">
                <c16:uniqueId val="{00000005-EC8C-4A96-9F51-DFFEA7647C68}"/>
              </c:ext>
            </c:extLst>
          </c:dPt>
          <c:dPt>
            <c:idx val="3"/>
            <c:bubble3D val="0"/>
            <c:spPr>
              <a:solidFill>
                <a:srgbClr val="FF0000"/>
              </a:solidFill>
              <a:ln w="19050">
                <a:noFill/>
              </a:ln>
              <a:effectLst/>
            </c:spPr>
            <c:extLst>
              <c:ext xmlns:c16="http://schemas.microsoft.com/office/drawing/2014/chart" uri="{C3380CC4-5D6E-409C-BE32-E72D297353CC}">
                <c16:uniqueId val="{00000007-EC8C-4A96-9F51-DFFEA7647C68}"/>
              </c:ext>
            </c:extLst>
          </c:dPt>
          <c:dPt>
            <c:idx val="4"/>
            <c:bubble3D val="0"/>
            <c:spPr>
              <a:solidFill>
                <a:srgbClr val="FF0000"/>
              </a:solidFill>
              <a:ln w="19050">
                <a:noFill/>
              </a:ln>
              <a:effectLst/>
            </c:spPr>
            <c:extLst>
              <c:ext xmlns:c16="http://schemas.microsoft.com/office/drawing/2014/chart" uri="{C3380CC4-5D6E-409C-BE32-E72D297353CC}">
                <c16:uniqueId val="{00000009-EC8C-4A96-9F51-DFFEA7647C68}"/>
              </c:ext>
            </c:extLst>
          </c:dPt>
          <c:dPt>
            <c:idx val="5"/>
            <c:bubble3D val="0"/>
            <c:spPr>
              <a:solidFill>
                <a:srgbClr val="FFC000"/>
              </a:solidFill>
              <a:ln w="19050">
                <a:noFill/>
              </a:ln>
              <a:effectLst/>
            </c:spPr>
            <c:extLst>
              <c:ext xmlns:c16="http://schemas.microsoft.com/office/drawing/2014/chart" uri="{C3380CC4-5D6E-409C-BE32-E72D297353CC}">
                <c16:uniqueId val="{0000000B-EC8C-4A96-9F51-DFFEA7647C68}"/>
              </c:ext>
            </c:extLst>
          </c:dPt>
          <c:dPt>
            <c:idx val="6"/>
            <c:bubble3D val="0"/>
            <c:spPr>
              <a:solidFill>
                <a:srgbClr val="00B050"/>
              </a:solidFill>
              <a:ln w="19050">
                <a:noFill/>
              </a:ln>
              <a:effectLst/>
            </c:spPr>
            <c:extLst>
              <c:ext xmlns:c16="http://schemas.microsoft.com/office/drawing/2014/chart" uri="{C3380CC4-5D6E-409C-BE32-E72D297353CC}">
                <c16:uniqueId val="{0000000D-EC8C-4A96-9F51-DFFEA7647C68}"/>
              </c:ext>
            </c:extLst>
          </c:dPt>
          <c:dPt>
            <c:idx val="7"/>
            <c:bubble3D val="0"/>
            <c:spPr>
              <a:noFill/>
              <a:ln w="19050">
                <a:noFill/>
              </a:ln>
              <a:effectLst/>
            </c:spPr>
            <c:extLst>
              <c:ext xmlns:c16="http://schemas.microsoft.com/office/drawing/2014/chart" uri="{C3380CC4-5D6E-409C-BE32-E72D297353CC}">
                <c16:uniqueId val="{0000000F-EC8C-4A96-9F51-DFFEA7647C68}"/>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EC8C-4A96-9F51-DFFEA7647C68}"/>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EC8C-4A96-9F51-DFFEA7647C68}"/>
              </c:ext>
            </c:extLst>
          </c:dPt>
          <c:dPt>
            <c:idx val="1"/>
            <c:bubble3D val="0"/>
            <c:spPr>
              <a:solidFill>
                <a:schemeClr val="tx1"/>
              </a:solidFill>
              <a:ln w="19050">
                <a:noFill/>
              </a:ln>
              <a:effectLst/>
            </c:spPr>
            <c:extLst>
              <c:ext xmlns:c16="http://schemas.microsoft.com/office/drawing/2014/chart" uri="{C3380CC4-5D6E-409C-BE32-E72D297353CC}">
                <c16:uniqueId val="{00000014-EC8C-4A96-9F51-DFFEA7647C68}"/>
              </c:ext>
            </c:extLst>
          </c:dPt>
          <c:dPt>
            <c:idx val="2"/>
            <c:bubble3D val="0"/>
            <c:spPr>
              <a:noFill/>
              <a:ln w="19050">
                <a:noFill/>
              </a:ln>
              <a:effectLst/>
            </c:spPr>
            <c:extLst>
              <c:ext xmlns:c16="http://schemas.microsoft.com/office/drawing/2014/chart" uri="{C3380CC4-5D6E-409C-BE32-E72D297353CC}">
                <c16:uniqueId val="{00000016-EC8C-4A96-9F51-DFFEA7647C68}"/>
              </c:ext>
            </c:extLst>
          </c:dPt>
          <c:val>
            <c:numRef>
              <c:f>Reference!$R$28:$T$28</c:f>
              <c:numCache>
                <c:formatCode>General</c:formatCode>
                <c:ptCount val="3"/>
                <c:pt idx="0" formatCode="0%">
                  <c:v>1</c:v>
                </c:pt>
                <c:pt idx="1">
                  <c:v>0.03</c:v>
                </c:pt>
                <c:pt idx="2">
                  <c:v>0.97</c:v>
                </c:pt>
              </c:numCache>
            </c:numRef>
          </c:val>
          <c:extLst>
            <c:ext xmlns:c16="http://schemas.microsoft.com/office/drawing/2014/chart" uri="{C3380CC4-5D6E-409C-BE32-E72D297353CC}">
              <c16:uniqueId val="{00000017-EC8C-4A96-9F51-DFFEA7647C68}"/>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120B-406E-87DE-8600D45342E5}"/>
              </c:ext>
            </c:extLst>
          </c:dPt>
          <c:dPt>
            <c:idx val="1"/>
            <c:bubble3D val="0"/>
            <c:spPr>
              <a:solidFill>
                <a:srgbClr val="FF0000"/>
              </a:solidFill>
              <a:ln w="19050">
                <a:noFill/>
              </a:ln>
              <a:effectLst/>
            </c:spPr>
            <c:extLst>
              <c:ext xmlns:c16="http://schemas.microsoft.com/office/drawing/2014/chart" uri="{C3380CC4-5D6E-409C-BE32-E72D297353CC}">
                <c16:uniqueId val="{00000003-120B-406E-87DE-8600D45342E5}"/>
              </c:ext>
            </c:extLst>
          </c:dPt>
          <c:dPt>
            <c:idx val="2"/>
            <c:bubble3D val="0"/>
            <c:spPr>
              <a:solidFill>
                <a:srgbClr val="FF0000"/>
              </a:solidFill>
              <a:ln w="19050">
                <a:noFill/>
              </a:ln>
              <a:effectLst/>
            </c:spPr>
            <c:extLst>
              <c:ext xmlns:c16="http://schemas.microsoft.com/office/drawing/2014/chart" uri="{C3380CC4-5D6E-409C-BE32-E72D297353CC}">
                <c16:uniqueId val="{00000005-120B-406E-87DE-8600D45342E5}"/>
              </c:ext>
            </c:extLst>
          </c:dPt>
          <c:dPt>
            <c:idx val="3"/>
            <c:bubble3D val="0"/>
            <c:spPr>
              <a:solidFill>
                <a:srgbClr val="FF0000"/>
              </a:solidFill>
              <a:ln w="19050">
                <a:noFill/>
              </a:ln>
              <a:effectLst/>
            </c:spPr>
            <c:extLst>
              <c:ext xmlns:c16="http://schemas.microsoft.com/office/drawing/2014/chart" uri="{C3380CC4-5D6E-409C-BE32-E72D297353CC}">
                <c16:uniqueId val="{00000007-120B-406E-87DE-8600D45342E5}"/>
              </c:ext>
            </c:extLst>
          </c:dPt>
          <c:dPt>
            <c:idx val="4"/>
            <c:bubble3D val="0"/>
            <c:spPr>
              <a:solidFill>
                <a:srgbClr val="FF0000"/>
              </a:solidFill>
              <a:ln w="19050">
                <a:noFill/>
              </a:ln>
              <a:effectLst/>
            </c:spPr>
            <c:extLst>
              <c:ext xmlns:c16="http://schemas.microsoft.com/office/drawing/2014/chart" uri="{C3380CC4-5D6E-409C-BE32-E72D297353CC}">
                <c16:uniqueId val="{00000009-120B-406E-87DE-8600D45342E5}"/>
              </c:ext>
            </c:extLst>
          </c:dPt>
          <c:dPt>
            <c:idx val="5"/>
            <c:bubble3D val="0"/>
            <c:spPr>
              <a:solidFill>
                <a:srgbClr val="FFC000"/>
              </a:solidFill>
              <a:ln w="19050">
                <a:noFill/>
              </a:ln>
              <a:effectLst/>
            </c:spPr>
            <c:extLst>
              <c:ext xmlns:c16="http://schemas.microsoft.com/office/drawing/2014/chart" uri="{C3380CC4-5D6E-409C-BE32-E72D297353CC}">
                <c16:uniqueId val="{0000000B-120B-406E-87DE-8600D45342E5}"/>
              </c:ext>
            </c:extLst>
          </c:dPt>
          <c:dPt>
            <c:idx val="6"/>
            <c:bubble3D val="0"/>
            <c:spPr>
              <a:solidFill>
                <a:srgbClr val="00B050"/>
              </a:solidFill>
              <a:ln w="19050">
                <a:noFill/>
              </a:ln>
              <a:effectLst/>
            </c:spPr>
            <c:extLst>
              <c:ext xmlns:c16="http://schemas.microsoft.com/office/drawing/2014/chart" uri="{C3380CC4-5D6E-409C-BE32-E72D297353CC}">
                <c16:uniqueId val="{0000000D-120B-406E-87DE-8600D45342E5}"/>
              </c:ext>
            </c:extLst>
          </c:dPt>
          <c:dPt>
            <c:idx val="7"/>
            <c:bubble3D val="0"/>
            <c:spPr>
              <a:noFill/>
              <a:ln w="19050">
                <a:noFill/>
              </a:ln>
              <a:effectLst/>
            </c:spPr>
            <c:extLst>
              <c:ext xmlns:c16="http://schemas.microsoft.com/office/drawing/2014/chart" uri="{C3380CC4-5D6E-409C-BE32-E72D297353CC}">
                <c16:uniqueId val="{0000000F-120B-406E-87DE-8600D45342E5}"/>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120B-406E-87DE-8600D45342E5}"/>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120B-406E-87DE-8600D45342E5}"/>
              </c:ext>
            </c:extLst>
          </c:dPt>
          <c:dPt>
            <c:idx val="1"/>
            <c:bubble3D val="0"/>
            <c:spPr>
              <a:solidFill>
                <a:schemeClr val="tx1"/>
              </a:solidFill>
              <a:ln w="19050">
                <a:noFill/>
              </a:ln>
              <a:effectLst/>
            </c:spPr>
            <c:extLst>
              <c:ext xmlns:c16="http://schemas.microsoft.com/office/drawing/2014/chart" uri="{C3380CC4-5D6E-409C-BE32-E72D297353CC}">
                <c16:uniqueId val="{00000014-120B-406E-87DE-8600D45342E5}"/>
              </c:ext>
            </c:extLst>
          </c:dPt>
          <c:dPt>
            <c:idx val="2"/>
            <c:bubble3D val="0"/>
            <c:spPr>
              <a:noFill/>
              <a:ln w="19050">
                <a:noFill/>
              </a:ln>
              <a:effectLst/>
            </c:spPr>
            <c:extLst>
              <c:ext xmlns:c16="http://schemas.microsoft.com/office/drawing/2014/chart" uri="{C3380CC4-5D6E-409C-BE32-E72D297353CC}">
                <c16:uniqueId val="{00000016-120B-406E-87DE-8600D45342E5}"/>
              </c:ext>
            </c:extLst>
          </c:dPt>
          <c:val>
            <c:numRef>
              <c:f>Reference!$B$97:$D$97</c:f>
              <c:numCache>
                <c:formatCode>General</c:formatCode>
                <c:ptCount val="3"/>
                <c:pt idx="0" formatCode="0%">
                  <c:v>1</c:v>
                </c:pt>
                <c:pt idx="1">
                  <c:v>0.03</c:v>
                </c:pt>
                <c:pt idx="2">
                  <c:v>0.97</c:v>
                </c:pt>
              </c:numCache>
            </c:numRef>
          </c:val>
          <c:extLst>
            <c:ext xmlns:c16="http://schemas.microsoft.com/office/drawing/2014/chart" uri="{C3380CC4-5D6E-409C-BE32-E72D297353CC}">
              <c16:uniqueId val="{00000017-120B-406E-87DE-8600D45342E5}"/>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AE16-4196-9575-EDFBDB2B6A9E}"/>
              </c:ext>
            </c:extLst>
          </c:dPt>
          <c:dPt>
            <c:idx val="1"/>
            <c:bubble3D val="0"/>
            <c:spPr>
              <a:solidFill>
                <a:srgbClr val="FF0000"/>
              </a:solidFill>
              <a:ln w="19050">
                <a:noFill/>
              </a:ln>
              <a:effectLst/>
            </c:spPr>
            <c:extLst>
              <c:ext xmlns:c16="http://schemas.microsoft.com/office/drawing/2014/chart" uri="{C3380CC4-5D6E-409C-BE32-E72D297353CC}">
                <c16:uniqueId val="{00000003-AE16-4196-9575-EDFBDB2B6A9E}"/>
              </c:ext>
            </c:extLst>
          </c:dPt>
          <c:dPt>
            <c:idx val="2"/>
            <c:bubble3D val="0"/>
            <c:spPr>
              <a:solidFill>
                <a:srgbClr val="FF0000"/>
              </a:solidFill>
              <a:ln w="19050">
                <a:noFill/>
              </a:ln>
              <a:effectLst/>
            </c:spPr>
            <c:extLst>
              <c:ext xmlns:c16="http://schemas.microsoft.com/office/drawing/2014/chart" uri="{C3380CC4-5D6E-409C-BE32-E72D297353CC}">
                <c16:uniqueId val="{00000005-AE16-4196-9575-EDFBDB2B6A9E}"/>
              </c:ext>
            </c:extLst>
          </c:dPt>
          <c:dPt>
            <c:idx val="3"/>
            <c:bubble3D val="0"/>
            <c:spPr>
              <a:solidFill>
                <a:srgbClr val="FF0000"/>
              </a:solidFill>
              <a:ln w="19050">
                <a:noFill/>
              </a:ln>
              <a:effectLst/>
            </c:spPr>
            <c:extLst>
              <c:ext xmlns:c16="http://schemas.microsoft.com/office/drawing/2014/chart" uri="{C3380CC4-5D6E-409C-BE32-E72D297353CC}">
                <c16:uniqueId val="{00000007-AE16-4196-9575-EDFBDB2B6A9E}"/>
              </c:ext>
            </c:extLst>
          </c:dPt>
          <c:dPt>
            <c:idx val="4"/>
            <c:bubble3D val="0"/>
            <c:spPr>
              <a:solidFill>
                <a:srgbClr val="FF0000"/>
              </a:solidFill>
              <a:ln w="19050">
                <a:noFill/>
              </a:ln>
              <a:effectLst/>
            </c:spPr>
            <c:extLst>
              <c:ext xmlns:c16="http://schemas.microsoft.com/office/drawing/2014/chart" uri="{C3380CC4-5D6E-409C-BE32-E72D297353CC}">
                <c16:uniqueId val="{00000009-AE16-4196-9575-EDFBDB2B6A9E}"/>
              </c:ext>
            </c:extLst>
          </c:dPt>
          <c:dPt>
            <c:idx val="5"/>
            <c:bubble3D val="0"/>
            <c:spPr>
              <a:solidFill>
                <a:srgbClr val="FFC000"/>
              </a:solidFill>
              <a:ln w="19050">
                <a:noFill/>
              </a:ln>
              <a:effectLst/>
            </c:spPr>
            <c:extLst>
              <c:ext xmlns:c16="http://schemas.microsoft.com/office/drawing/2014/chart" uri="{C3380CC4-5D6E-409C-BE32-E72D297353CC}">
                <c16:uniqueId val="{0000000B-AE16-4196-9575-EDFBDB2B6A9E}"/>
              </c:ext>
            </c:extLst>
          </c:dPt>
          <c:dPt>
            <c:idx val="6"/>
            <c:bubble3D val="0"/>
            <c:spPr>
              <a:solidFill>
                <a:srgbClr val="00B050"/>
              </a:solidFill>
              <a:ln w="19050">
                <a:noFill/>
              </a:ln>
              <a:effectLst/>
            </c:spPr>
            <c:extLst>
              <c:ext xmlns:c16="http://schemas.microsoft.com/office/drawing/2014/chart" uri="{C3380CC4-5D6E-409C-BE32-E72D297353CC}">
                <c16:uniqueId val="{0000000D-AE16-4196-9575-EDFBDB2B6A9E}"/>
              </c:ext>
            </c:extLst>
          </c:dPt>
          <c:dPt>
            <c:idx val="7"/>
            <c:bubble3D val="0"/>
            <c:spPr>
              <a:noFill/>
              <a:ln w="19050">
                <a:noFill/>
              </a:ln>
              <a:effectLst/>
            </c:spPr>
            <c:extLst>
              <c:ext xmlns:c16="http://schemas.microsoft.com/office/drawing/2014/chart" uri="{C3380CC4-5D6E-409C-BE32-E72D297353CC}">
                <c16:uniqueId val="{0000000F-AE16-4196-9575-EDFBDB2B6A9E}"/>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AE16-4196-9575-EDFBDB2B6A9E}"/>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AE16-4196-9575-EDFBDB2B6A9E}"/>
              </c:ext>
            </c:extLst>
          </c:dPt>
          <c:dPt>
            <c:idx val="1"/>
            <c:bubble3D val="0"/>
            <c:spPr>
              <a:solidFill>
                <a:schemeClr val="tx1"/>
              </a:solidFill>
              <a:ln w="19050">
                <a:noFill/>
              </a:ln>
              <a:effectLst/>
            </c:spPr>
            <c:extLst>
              <c:ext xmlns:c16="http://schemas.microsoft.com/office/drawing/2014/chart" uri="{C3380CC4-5D6E-409C-BE32-E72D297353CC}">
                <c16:uniqueId val="{00000014-AE16-4196-9575-EDFBDB2B6A9E}"/>
              </c:ext>
            </c:extLst>
          </c:dPt>
          <c:dPt>
            <c:idx val="2"/>
            <c:bubble3D val="0"/>
            <c:spPr>
              <a:noFill/>
              <a:ln w="19050">
                <a:noFill/>
              </a:ln>
              <a:effectLst/>
            </c:spPr>
            <c:extLst>
              <c:ext xmlns:c16="http://schemas.microsoft.com/office/drawing/2014/chart" uri="{C3380CC4-5D6E-409C-BE32-E72D297353CC}">
                <c16:uniqueId val="{00000016-AE16-4196-9575-EDFBDB2B6A9E}"/>
              </c:ext>
            </c:extLst>
          </c:dPt>
          <c:val>
            <c:numRef>
              <c:f>Reference!$J$38:$L$38</c:f>
              <c:numCache>
                <c:formatCode>General</c:formatCode>
                <c:ptCount val="3"/>
                <c:pt idx="0" formatCode="0%">
                  <c:v>0.218</c:v>
                </c:pt>
                <c:pt idx="1">
                  <c:v>7.0000000000000001E-3</c:v>
                </c:pt>
                <c:pt idx="2" formatCode="0.00">
                  <c:v>0.22500000000000001</c:v>
                </c:pt>
              </c:numCache>
            </c:numRef>
          </c:val>
          <c:extLst>
            <c:ext xmlns:c16="http://schemas.microsoft.com/office/drawing/2014/chart" uri="{C3380CC4-5D6E-409C-BE32-E72D297353CC}">
              <c16:uniqueId val="{00000017-AE16-4196-9575-EDFBDB2B6A9E}"/>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2259-45B2-B00D-7256782E397B}"/>
              </c:ext>
            </c:extLst>
          </c:dPt>
          <c:dPt>
            <c:idx val="1"/>
            <c:bubble3D val="0"/>
            <c:spPr>
              <a:solidFill>
                <a:srgbClr val="FF0000"/>
              </a:solidFill>
              <a:ln w="19050">
                <a:noFill/>
              </a:ln>
              <a:effectLst/>
            </c:spPr>
            <c:extLst>
              <c:ext xmlns:c16="http://schemas.microsoft.com/office/drawing/2014/chart" uri="{C3380CC4-5D6E-409C-BE32-E72D297353CC}">
                <c16:uniqueId val="{00000003-2259-45B2-B00D-7256782E397B}"/>
              </c:ext>
            </c:extLst>
          </c:dPt>
          <c:dPt>
            <c:idx val="2"/>
            <c:bubble3D val="0"/>
            <c:spPr>
              <a:solidFill>
                <a:srgbClr val="FF0000"/>
              </a:solidFill>
              <a:ln w="19050">
                <a:noFill/>
              </a:ln>
              <a:effectLst/>
            </c:spPr>
            <c:extLst>
              <c:ext xmlns:c16="http://schemas.microsoft.com/office/drawing/2014/chart" uri="{C3380CC4-5D6E-409C-BE32-E72D297353CC}">
                <c16:uniqueId val="{00000005-2259-45B2-B00D-7256782E397B}"/>
              </c:ext>
            </c:extLst>
          </c:dPt>
          <c:dPt>
            <c:idx val="3"/>
            <c:bubble3D val="0"/>
            <c:spPr>
              <a:solidFill>
                <a:srgbClr val="FF0000"/>
              </a:solidFill>
              <a:ln w="19050">
                <a:noFill/>
              </a:ln>
              <a:effectLst/>
            </c:spPr>
            <c:extLst>
              <c:ext xmlns:c16="http://schemas.microsoft.com/office/drawing/2014/chart" uri="{C3380CC4-5D6E-409C-BE32-E72D297353CC}">
                <c16:uniqueId val="{00000007-2259-45B2-B00D-7256782E397B}"/>
              </c:ext>
            </c:extLst>
          </c:dPt>
          <c:dPt>
            <c:idx val="4"/>
            <c:bubble3D val="0"/>
            <c:spPr>
              <a:solidFill>
                <a:srgbClr val="FF0000"/>
              </a:solidFill>
              <a:ln w="19050">
                <a:noFill/>
              </a:ln>
              <a:effectLst/>
            </c:spPr>
            <c:extLst>
              <c:ext xmlns:c16="http://schemas.microsoft.com/office/drawing/2014/chart" uri="{C3380CC4-5D6E-409C-BE32-E72D297353CC}">
                <c16:uniqueId val="{00000009-2259-45B2-B00D-7256782E397B}"/>
              </c:ext>
            </c:extLst>
          </c:dPt>
          <c:dPt>
            <c:idx val="5"/>
            <c:bubble3D val="0"/>
            <c:spPr>
              <a:solidFill>
                <a:srgbClr val="FFC000"/>
              </a:solidFill>
              <a:ln w="19050">
                <a:noFill/>
              </a:ln>
              <a:effectLst/>
            </c:spPr>
            <c:extLst>
              <c:ext xmlns:c16="http://schemas.microsoft.com/office/drawing/2014/chart" uri="{C3380CC4-5D6E-409C-BE32-E72D297353CC}">
                <c16:uniqueId val="{0000000B-2259-45B2-B00D-7256782E397B}"/>
              </c:ext>
            </c:extLst>
          </c:dPt>
          <c:dPt>
            <c:idx val="6"/>
            <c:bubble3D val="0"/>
            <c:spPr>
              <a:solidFill>
                <a:srgbClr val="00B050"/>
              </a:solidFill>
              <a:ln w="19050">
                <a:noFill/>
              </a:ln>
              <a:effectLst/>
            </c:spPr>
            <c:extLst>
              <c:ext xmlns:c16="http://schemas.microsoft.com/office/drawing/2014/chart" uri="{C3380CC4-5D6E-409C-BE32-E72D297353CC}">
                <c16:uniqueId val="{0000000D-2259-45B2-B00D-7256782E397B}"/>
              </c:ext>
            </c:extLst>
          </c:dPt>
          <c:dPt>
            <c:idx val="7"/>
            <c:bubble3D val="0"/>
            <c:spPr>
              <a:noFill/>
              <a:ln w="19050">
                <a:noFill/>
              </a:ln>
              <a:effectLst/>
            </c:spPr>
            <c:extLst>
              <c:ext xmlns:c16="http://schemas.microsoft.com/office/drawing/2014/chart" uri="{C3380CC4-5D6E-409C-BE32-E72D297353CC}">
                <c16:uniqueId val="{0000000F-2259-45B2-B00D-7256782E397B}"/>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2259-45B2-B00D-7256782E397B}"/>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2259-45B2-B00D-7256782E397B}"/>
              </c:ext>
            </c:extLst>
          </c:dPt>
          <c:dPt>
            <c:idx val="1"/>
            <c:bubble3D val="0"/>
            <c:spPr>
              <a:solidFill>
                <a:schemeClr val="tx1"/>
              </a:solidFill>
              <a:ln w="19050">
                <a:noFill/>
              </a:ln>
              <a:effectLst/>
            </c:spPr>
            <c:extLst>
              <c:ext xmlns:c16="http://schemas.microsoft.com/office/drawing/2014/chart" uri="{C3380CC4-5D6E-409C-BE32-E72D297353CC}">
                <c16:uniqueId val="{00000014-2259-45B2-B00D-7256782E397B}"/>
              </c:ext>
            </c:extLst>
          </c:dPt>
          <c:dPt>
            <c:idx val="2"/>
            <c:bubble3D val="0"/>
            <c:spPr>
              <a:noFill/>
              <a:ln w="19050">
                <a:noFill/>
              </a:ln>
              <a:effectLst/>
            </c:spPr>
            <c:extLst>
              <c:ext xmlns:c16="http://schemas.microsoft.com/office/drawing/2014/chart" uri="{C3380CC4-5D6E-409C-BE32-E72D297353CC}">
                <c16:uniqueId val="{00000016-2259-45B2-B00D-7256782E397B}"/>
              </c:ext>
            </c:extLst>
          </c:dPt>
          <c:val>
            <c:numRef>
              <c:f>Reference!$J$38:$L$38</c:f>
              <c:numCache>
                <c:formatCode>General</c:formatCode>
                <c:ptCount val="3"/>
                <c:pt idx="0" formatCode="0%">
                  <c:v>0.218</c:v>
                </c:pt>
                <c:pt idx="1">
                  <c:v>7.0000000000000001E-3</c:v>
                </c:pt>
                <c:pt idx="2" formatCode="0.00">
                  <c:v>0.22500000000000001</c:v>
                </c:pt>
              </c:numCache>
            </c:numRef>
          </c:val>
          <c:extLst>
            <c:ext xmlns:c16="http://schemas.microsoft.com/office/drawing/2014/chart" uri="{C3380CC4-5D6E-409C-BE32-E72D297353CC}">
              <c16:uniqueId val="{00000017-2259-45B2-B00D-7256782E397B}"/>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CC18-4804-A54B-BF18CD54F933}"/>
              </c:ext>
            </c:extLst>
          </c:dPt>
          <c:dPt>
            <c:idx val="1"/>
            <c:bubble3D val="0"/>
            <c:spPr>
              <a:solidFill>
                <a:srgbClr val="FF0000"/>
              </a:solidFill>
              <a:ln w="19050">
                <a:noFill/>
              </a:ln>
              <a:effectLst/>
            </c:spPr>
            <c:extLst>
              <c:ext xmlns:c16="http://schemas.microsoft.com/office/drawing/2014/chart" uri="{C3380CC4-5D6E-409C-BE32-E72D297353CC}">
                <c16:uniqueId val="{00000003-CC18-4804-A54B-BF18CD54F933}"/>
              </c:ext>
            </c:extLst>
          </c:dPt>
          <c:dPt>
            <c:idx val="2"/>
            <c:bubble3D val="0"/>
            <c:spPr>
              <a:solidFill>
                <a:srgbClr val="FF0000"/>
              </a:solidFill>
              <a:ln w="19050">
                <a:noFill/>
              </a:ln>
              <a:effectLst/>
            </c:spPr>
            <c:extLst>
              <c:ext xmlns:c16="http://schemas.microsoft.com/office/drawing/2014/chart" uri="{C3380CC4-5D6E-409C-BE32-E72D297353CC}">
                <c16:uniqueId val="{00000005-CC18-4804-A54B-BF18CD54F933}"/>
              </c:ext>
            </c:extLst>
          </c:dPt>
          <c:dPt>
            <c:idx val="3"/>
            <c:bubble3D val="0"/>
            <c:spPr>
              <a:solidFill>
                <a:srgbClr val="FF0000"/>
              </a:solidFill>
              <a:ln w="19050">
                <a:noFill/>
              </a:ln>
              <a:effectLst/>
            </c:spPr>
            <c:extLst>
              <c:ext xmlns:c16="http://schemas.microsoft.com/office/drawing/2014/chart" uri="{C3380CC4-5D6E-409C-BE32-E72D297353CC}">
                <c16:uniqueId val="{00000007-CC18-4804-A54B-BF18CD54F933}"/>
              </c:ext>
            </c:extLst>
          </c:dPt>
          <c:dPt>
            <c:idx val="4"/>
            <c:bubble3D val="0"/>
            <c:spPr>
              <a:solidFill>
                <a:srgbClr val="FF0000"/>
              </a:solidFill>
              <a:ln w="19050">
                <a:noFill/>
              </a:ln>
              <a:effectLst/>
            </c:spPr>
            <c:extLst>
              <c:ext xmlns:c16="http://schemas.microsoft.com/office/drawing/2014/chart" uri="{C3380CC4-5D6E-409C-BE32-E72D297353CC}">
                <c16:uniqueId val="{00000009-CC18-4804-A54B-BF18CD54F933}"/>
              </c:ext>
            </c:extLst>
          </c:dPt>
          <c:dPt>
            <c:idx val="5"/>
            <c:bubble3D val="0"/>
            <c:spPr>
              <a:solidFill>
                <a:srgbClr val="FFC000"/>
              </a:solidFill>
              <a:ln w="19050">
                <a:noFill/>
              </a:ln>
              <a:effectLst/>
            </c:spPr>
            <c:extLst>
              <c:ext xmlns:c16="http://schemas.microsoft.com/office/drawing/2014/chart" uri="{C3380CC4-5D6E-409C-BE32-E72D297353CC}">
                <c16:uniqueId val="{0000000B-CC18-4804-A54B-BF18CD54F933}"/>
              </c:ext>
            </c:extLst>
          </c:dPt>
          <c:dPt>
            <c:idx val="6"/>
            <c:bubble3D val="0"/>
            <c:spPr>
              <a:solidFill>
                <a:srgbClr val="00B050"/>
              </a:solidFill>
              <a:ln w="19050">
                <a:noFill/>
              </a:ln>
              <a:effectLst/>
            </c:spPr>
            <c:extLst>
              <c:ext xmlns:c16="http://schemas.microsoft.com/office/drawing/2014/chart" uri="{C3380CC4-5D6E-409C-BE32-E72D297353CC}">
                <c16:uniqueId val="{0000000D-CC18-4804-A54B-BF18CD54F933}"/>
              </c:ext>
            </c:extLst>
          </c:dPt>
          <c:dPt>
            <c:idx val="7"/>
            <c:bubble3D val="0"/>
            <c:spPr>
              <a:noFill/>
              <a:ln w="19050">
                <a:noFill/>
              </a:ln>
              <a:effectLst/>
            </c:spPr>
            <c:extLst>
              <c:ext xmlns:c16="http://schemas.microsoft.com/office/drawing/2014/chart" uri="{C3380CC4-5D6E-409C-BE32-E72D297353CC}">
                <c16:uniqueId val="{0000000F-CC18-4804-A54B-BF18CD54F933}"/>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CC18-4804-A54B-BF18CD54F933}"/>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CC18-4804-A54B-BF18CD54F933}"/>
              </c:ext>
            </c:extLst>
          </c:dPt>
          <c:dPt>
            <c:idx val="1"/>
            <c:bubble3D val="0"/>
            <c:spPr>
              <a:solidFill>
                <a:schemeClr val="tx1"/>
              </a:solidFill>
              <a:ln w="19050">
                <a:noFill/>
              </a:ln>
              <a:effectLst/>
            </c:spPr>
            <c:extLst>
              <c:ext xmlns:c16="http://schemas.microsoft.com/office/drawing/2014/chart" uri="{C3380CC4-5D6E-409C-BE32-E72D297353CC}">
                <c16:uniqueId val="{00000014-CC18-4804-A54B-BF18CD54F933}"/>
              </c:ext>
            </c:extLst>
          </c:dPt>
          <c:dPt>
            <c:idx val="2"/>
            <c:bubble3D val="0"/>
            <c:spPr>
              <a:noFill/>
              <a:ln w="19050">
                <a:noFill/>
              </a:ln>
              <a:effectLst/>
            </c:spPr>
            <c:extLst>
              <c:ext xmlns:c16="http://schemas.microsoft.com/office/drawing/2014/chart" uri="{C3380CC4-5D6E-409C-BE32-E72D297353CC}">
                <c16:uniqueId val="{00000016-CC18-4804-A54B-BF18CD54F933}"/>
              </c:ext>
            </c:extLst>
          </c:dPt>
          <c:val>
            <c:numRef>
              <c:f>Reference!$R$38:$T$38</c:f>
              <c:numCache>
                <c:formatCode>General</c:formatCode>
                <c:ptCount val="3"/>
                <c:pt idx="0" formatCode="0%">
                  <c:v>1</c:v>
                </c:pt>
                <c:pt idx="1">
                  <c:v>0.03</c:v>
                </c:pt>
                <c:pt idx="2">
                  <c:v>0.97</c:v>
                </c:pt>
              </c:numCache>
            </c:numRef>
          </c:val>
          <c:extLst>
            <c:ext xmlns:c16="http://schemas.microsoft.com/office/drawing/2014/chart" uri="{C3380CC4-5D6E-409C-BE32-E72D297353CC}">
              <c16:uniqueId val="{00000017-CC18-4804-A54B-BF18CD54F933}"/>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4E63-4FA9-8BE5-B658AA13E9F4}"/>
              </c:ext>
            </c:extLst>
          </c:dPt>
          <c:dPt>
            <c:idx val="1"/>
            <c:bubble3D val="0"/>
            <c:spPr>
              <a:solidFill>
                <a:srgbClr val="FF0000"/>
              </a:solidFill>
              <a:ln w="19050">
                <a:noFill/>
              </a:ln>
              <a:effectLst/>
            </c:spPr>
            <c:extLst>
              <c:ext xmlns:c16="http://schemas.microsoft.com/office/drawing/2014/chart" uri="{C3380CC4-5D6E-409C-BE32-E72D297353CC}">
                <c16:uniqueId val="{00000003-4E63-4FA9-8BE5-B658AA13E9F4}"/>
              </c:ext>
            </c:extLst>
          </c:dPt>
          <c:dPt>
            <c:idx val="2"/>
            <c:bubble3D val="0"/>
            <c:spPr>
              <a:solidFill>
                <a:srgbClr val="FF0000"/>
              </a:solidFill>
              <a:ln w="19050">
                <a:noFill/>
              </a:ln>
              <a:effectLst/>
            </c:spPr>
            <c:extLst>
              <c:ext xmlns:c16="http://schemas.microsoft.com/office/drawing/2014/chart" uri="{C3380CC4-5D6E-409C-BE32-E72D297353CC}">
                <c16:uniqueId val="{00000005-4E63-4FA9-8BE5-B658AA13E9F4}"/>
              </c:ext>
            </c:extLst>
          </c:dPt>
          <c:dPt>
            <c:idx val="3"/>
            <c:bubble3D val="0"/>
            <c:spPr>
              <a:solidFill>
                <a:srgbClr val="FF0000"/>
              </a:solidFill>
              <a:ln w="19050">
                <a:noFill/>
              </a:ln>
              <a:effectLst/>
            </c:spPr>
            <c:extLst>
              <c:ext xmlns:c16="http://schemas.microsoft.com/office/drawing/2014/chart" uri="{C3380CC4-5D6E-409C-BE32-E72D297353CC}">
                <c16:uniqueId val="{00000007-4E63-4FA9-8BE5-B658AA13E9F4}"/>
              </c:ext>
            </c:extLst>
          </c:dPt>
          <c:dPt>
            <c:idx val="4"/>
            <c:bubble3D val="0"/>
            <c:spPr>
              <a:solidFill>
                <a:srgbClr val="FF0000"/>
              </a:solidFill>
              <a:ln w="19050">
                <a:noFill/>
              </a:ln>
              <a:effectLst/>
            </c:spPr>
            <c:extLst>
              <c:ext xmlns:c16="http://schemas.microsoft.com/office/drawing/2014/chart" uri="{C3380CC4-5D6E-409C-BE32-E72D297353CC}">
                <c16:uniqueId val="{00000009-4E63-4FA9-8BE5-B658AA13E9F4}"/>
              </c:ext>
            </c:extLst>
          </c:dPt>
          <c:dPt>
            <c:idx val="5"/>
            <c:bubble3D val="0"/>
            <c:spPr>
              <a:solidFill>
                <a:srgbClr val="FFC000"/>
              </a:solidFill>
              <a:ln w="19050">
                <a:noFill/>
              </a:ln>
              <a:effectLst/>
            </c:spPr>
            <c:extLst>
              <c:ext xmlns:c16="http://schemas.microsoft.com/office/drawing/2014/chart" uri="{C3380CC4-5D6E-409C-BE32-E72D297353CC}">
                <c16:uniqueId val="{0000000B-4E63-4FA9-8BE5-B658AA13E9F4}"/>
              </c:ext>
            </c:extLst>
          </c:dPt>
          <c:dPt>
            <c:idx val="6"/>
            <c:bubble3D val="0"/>
            <c:spPr>
              <a:solidFill>
                <a:srgbClr val="00B050"/>
              </a:solidFill>
              <a:ln w="19050">
                <a:noFill/>
              </a:ln>
              <a:effectLst/>
            </c:spPr>
            <c:extLst>
              <c:ext xmlns:c16="http://schemas.microsoft.com/office/drawing/2014/chart" uri="{C3380CC4-5D6E-409C-BE32-E72D297353CC}">
                <c16:uniqueId val="{0000000D-4E63-4FA9-8BE5-B658AA13E9F4}"/>
              </c:ext>
            </c:extLst>
          </c:dPt>
          <c:dPt>
            <c:idx val="7"/>
            <c:bubble3D val="0"/>
            <c:spPr>
              <a:noFill/>
              <a:ln w="19050">
                <a:noFill/>
              </a:ln>
              <a:effectLst/>
            </c:spPr>
            <c:extLst>
              <c:ext xmlns:c16="http://schemas.microsoft.com/office/drawing/2014/chart" uri="{C3380CC4-5D6E-409C-BE32-E72D297353CC}">
                <c16:uniqueId val="{0000000F-4E63-4FA9-8BE5-B658AA13E9F4}"/>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4E63-4FA9-8BE5-B658AA13E9F4}"/>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4E63-4FA9-8BE5-B658AA13E9F4}"/>
              </c:ext>
            </c:extLst>
          </c:dPt>
          <c:dPt>
            <c:idx val="1"/>
            <c:bubble3D val="0"/>
            <c:spPr>
              <a:solidFill>
                <a:schemeClr val="tx1"/>
              </a:solidFill>
              <a:ln w="19050">
                <a:noFill/>
              </a:ln>
              <a:effectLst/>
            </c:spPr>
            <c:extLst>
              <c:ext xmlns:c16="http://schemas.microsoft.com/office/drawing/2014/chart" uri="{C3380CC4-5D6E-409C-BE32-E72D297353CC}">
                <c16:uniqueId val="{00000014-4E63-4FA9-8BE5-B658AA13E9F4}"/>
              </c:ext>
            </c:extLst>
          </c:dPt>
          <c:dPt>
            <c:idx val="2"/>
            <c:bubble3D val="0"/>
            <c:spPr>
              <a:noFill/>
              <a:ln w="19050">
                <a:noFill/>
              </a:ln>
              <a:effectLst/>
            </c:spPr>
            <c:extLst>
              <c:ext xmlns:c16="http://schemas.microsoft.com/office/drawing/2014/chart" uri="{C3380CC4-5D6E-409C-BE32-E72D297353CC}">
                <c16:uniqueId val="{00000016-4E63-4FA9-8BE5-B658AA13E9F4}"/>
              </c:ext>
            </c:extLst>
          </c:dPt>
          <c:val>
            <c:numRef>
              <c:f>Reference!$B$97:$D$97</c:f>
              <c:numCache>
                <c:formatCode>General</c:formatCode>
                <c:ptCount val="3"/>
                <c:pt idx="0" formatCode="0%">
                  <c:v>1</c:v>
                </c:pt>
                <c:pt idx="1">
                  <c:v>0.03</c:v>
                </c:pt>
                <c:pt idx="2">
                  <c:v>0.97</c:v>
                </c:pt>
              </c:numCache>
            </c:numRef>
          </c:val>
          <c:extLst>
            <c:ext xmlns:c16="http://schemas.microsoft.com/office/drawing/2014/chart" uri="{C3380CC4-5D6E-409C-BE32-E72D297353CC}">
              <c16:uniqueId val="{00000017-4E63-4FA9-8BE5-B658AA13E9F4}"/>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0B2D-415A-BBA5-FF83CC4C0908}"/>
              </c:ext>
            </c:extLst>
          </c:dPt>
          <c:dPt>
            <c:idx val="1"/>
            <c:bubble3D val="0"/>
            <c:spPr>
              <a:solidFill>
                <a:srgbClr val="FF0000"/>
              </a:solidFill>
              <a:ln w="19050">
                <a:noFill/>
              </a:ln>
              <a:effectLst/>
            </c:spPr>
            <c:extLst>
              <c:ext xmlns:c16="http://schemas.microsoft.com/office/drawing/2014/chart" uri="{C3380CC4-5D6E-409C-BE32-E72D297353CC}">
                <c16:uniqueId val="{00000003-0B2D-415A-BBA5-FF83CC4C0908}"/>
              </c:ext>
            </c:extLst>
          </c:dPt>
          <c:dPt>
            <c:idx val="2"/>
            <c:bubble3D val="0"/>
            <c:spPr>
              <a:solidFill>
                <a:srgbClr val="FF0000"/>
              </a:solidFill>
              <a:ln w="19050">
                <a:noFill/>
              </a:ln>
              <a:effectLst/>
            </c:spPr>
            <c:extLst>
              <c:ext xmlns:c16="http://schemas.microsoft.com/office/drawing/2014/chart" uri="{C3380CC4-5D6E-409C-BE32-E72D297353CC}">
                <c16:uniqueId val="{00000005-0B2D-415A-BBA5-FF83CC4C0908}"/>
              </c:ext>
            </c:extLst>
          </c:dPt>
          <c:dPt>
            <c:idx val="3"/>
            <c:bubble3D val="0"/>
            <c:spPr>
              <a:solidFill>
                <a:srgbClr val="FF0000"/>
              </a:solidFill>
              <a:ln w="19050">
                <a:noFill/>
              </a:ln>
              <a:effectLst/>
            </c:spPr>
            <c:extLst>
              <c:ext xmlns:c16="http://schemas.microsoft.com/office/drawing/2014/chart" uri="{C3380CC4-5D6E-409C-BE32-E72D297353CC}">
                <c16:uniqueId val="{00000007-0B2D-415A-BBA5-FF83CC4C0908}"/>
              </c:ext>
            </c:extLst>
          </c:dPt>
          <c:dPt>
            <c:idx val="4"/>
            <c:bubble3D val="0"/>
            <c:spPr>
              <a:solidFill>
                <a:srgbClr val="FF0000"/>
              </a:solidFill>
              <a:ln w="19050">
                <a:noFill/>
              </a:ln>
              <a:effectLst/>
            </c:spPr>
            <c:extLst>
              <c:ext xmlns:c16="http://schemas.microsoft.com/office/drawing/2014/chart" uri="{C3380CC4-5D6E-409C-BE32-E72D297353CC}">
                <c16:uniqueId val="{00000009-0B2D-415A-BBA5-FF83CC4C0908}"/>
              </c:ext>
            </c:extLst>
          </c:dPt>
          <c:dPt>
            <c:idx val="5"/>
            <c:bubble3D val="0"/>
            <c:spPr>
              <a:solidFill>
                <a:srgbClr val="FFC000"/>
              </a:solidFill>
              <a:ln w="19050">
                <a:noFill/>
              </a:ln>
              <a:effectLst/>
            </c:spPr>
            <c:extLst>
              <c:ext xmlns:c16="http://schemas.microsoft.com/office/drawing/2014/chart" uri="{C3380CC4-5D6E-409C-BE32-E72D297353CC}">
                <c16:uniqueId val="{0000000B-0B2D-415A-BBA5-FF83CC4C0908}"/>
              </c:ext>
            </c:extLst>
          </c:dPt>
          <c:dPt>
            <c:idx val="6"/>
            <c:bubble3D val="0"/>
            <c:spPr>
              <a:solidFill>
                <a:srgbClr val="00B050"/>
              </a:solidFill>
              <a:ln w="19050">
                <a:noFill/>
              </a:ln>
              <a:effectLst/>
            </c:spPr>
            <c:extLst>
              <c:ext xmlns:c16="http://schemas.microsoft.com/office/drawing/2014/chart" uri="{C3380CC4-5D6E-409C-BE32-E72D297353CC}">
                <c16:uniqueId val="{0000000D-0B2D-415A-BBA5-FF83CC4C0908}"/>
              </c:ext>
            </c:extLst>
          </c:dPt>
          <c:dPt>
            <c:idx val="7"/>
            <c:bubble3D val="0"/>
            <c:spPr>
              <a:noFill/>
              <a:ln w="19050">
                <a:noFill/>
              </a:ln>
              <a:effectLst/>
            </c:spPr>
            <c:extLst>
              <c:ext xmlns:c16="http://schemas.microsoft.com/office/drawing/2014/chart" uri="{C3380CC4-5D6E-409C-BE32-E72D297353CC}">
                <c16:uniqueId val="{0000000F-0B2D-415A-BBA5-FF83CC4C0908}"/>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0B2D-415A-BBA5-FF83CC4C0908}"/>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0B2D-415A-BBA5-FF83CC4C0908}"/>
              </c:ext>
            </c:extLst>
          </c:dPt>
          <c:dPt>
            <c:idx val="1"/>
            <c:bubble3D val="0"/>
            <c:spPr>
              <a:solidFill>
                <a:schemeClr val="tx1"/>
              </a:solidFill>
              <a:ln w="19050">
                <a:noFill/>
              </a:ln>
              <a:effectLst/>
            </c:spPr>
            <c:extLst>
              <c:ext xmlns:c16="http://schemas.microsoft.com/office/drawing/2014/chart" uri="{C3380CC4-5D6E-409C-BE32-E72D297353CC}">
                <c16:uniqueId val="{00000014-0B2D-415A-BBA5-FF83CC4C0908}"/>
              </c:ext>
            </c:extLst>
          </c:dPt>
          <c:dPt>
            <c:idx val="2"/>
            <c:bubble3D val="0"/>
            <c:spPr>
              <a:noFill/>
              <a:ln w="19050">
                <a:noFill/>
              </a:ln>
              <a:effectLst/>
            </c:spPr>
            <c:extLst>
              <c:ext xmlns:c16="http://schemas.microsoft.com/office/drawing/2014/chart" uri="{C3380CC4-5D6E-409C-BE32-E72D297353CC}">
                <c16:uniqueId val="{00000016-0B2D-415A-BBA5-FF83CC4C0908}"/>
              </c:ext>
            </c:extLst>
          </c:dPt>
          <c:val>
            <c:numRef>
              <c:f>Reference!$J$47:$L$47</c:f>
              <c:numCache>
                <c:formatCode>General</c:formatCode>
                <c:ptCount val="3"/>
                <c:pt idx="0" formatCode="0%">
                  <c:v>1</c:v>
                </c:pt>
                <c:pt idx="1">
                  <c:v>0.03</c:v>
                </c:pt>
                <c:pt idx="2">
                  <c:v>0.97</c:v>
                </c:pt>
              </c:numCache>
            </c:numRef>
          </c:val>
          <c:extLst>
            <c:ext xmlns:c16="http://schemas.microsoft.com/office/drawing/2014/chart" uri="{C3380CC4-5D6E-409C-BE32-E72D297353CC}">
              <c16:uniqueId val="{00000017-0B2D-415A-BBA5-FF83CC4C0908}"/>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31FD-4389-A5CE-EF8F18DBE116}"/>
              </c:ext>
            </c:extLst>
          </c:dPt>
          <c:dPt>
            <c:idx val="1"/>
            <c:bubble3D val="0"/>
            <c:spPr>
              <a:solidFill>
                <a:srgbClr val="FF0000"/>
              </a:solidFill>
              <a:ln w="19050">
                <a:noFill/>
              </a:ln>
              <a:effectLst/>
            </c:spPr>
            <c:extLst>
              <c:ext xmlns:c16="http://schemas.microsoft.com/office/drawing/2014/chart" uri="{C3380CC4-5D6E-409C-BE32-E72D297353CC}">
                <c16:uniqueId val="{00000003-31FD-4389-A5CE-EF8F18DBE116}"/>
              </c:ext>
            </c:extLst>
          </c:dPt>
          <c:dPt>
            <c:idx val="2"/>
            <c:bubble3D val="0"/>
            <c:spPr>
              <a:solidFill>
                <a:srgbClr val="FF0000"/>
              </a:solidFill>
              <a:ln w="19050">
                <a:noFill/>
              </a:ln>
              <a:effectLst/>
            </c:spPr>
            <c:extLst>
              <c:ext xmlns:c16="http://schemas.microsoft.com/office/drawing/2014/chart" uri="{C3380CC4-5D6E-409C-BE32-E72D297353CC}">
                <c16:uniqueId val="{00000005-31FD-4389-A5CE-EF8F18DBE116}"/>
              </c:ext>
            </c:extLst>
          </c:dPt>
          <c:dPt>
            <c:idx val="3"/>
            <c:bubble3D val="0"/>
            <c:spPr>
              <a:solidFill>
                <a:srgbClr val="FF0000"/>
              </a:solidFill>
              <a:ln w="19050">
                <a:noFill/>
              </a:ln>
              <a:effectLst/>
            </c:spPr>
            <c:extLst>
              <c:ext xmlns:c16="http://schemas.microsoft.com/office/drawing/2014/chart" uri="{C3380CC4-5D6E-409C-BE32-E72D297353CC}">
                <c16:uniqueId val="{00000007-31FD-4389-A5CE-EF8F18DBE116}"/>
              </c:ext>
            </c:extLst>
          </c:dPt>
          <c:dPt>
            <c:idx val="4"/>
            <c:bubble3D val="0"/>
            <c:spPr>
              <a:solidFill>
                <a:srgbClr val="FF0000"/>
              </a:solidFill>
              <a:ln w="19050">
                <a:noFill/>
              </a:ln>
              <a:effectLst/>
            </c:spPr>
            <c:extLst>
              <c:ext xmlns:c16="http://schemas.microsoft.com/office/drawing/2014/chart" uri="{C3380CC4-5D6E-409C-BE32-E72D297353CC}">
                <c16:uniqueId val="{00000009-31FD-4389-A5CE-EF8F18DBE116}"/>
              </c:ext>
            </c:extLst>
          </c:dPt>
          <c:dPt>
            <c:idx val="5"/>
            <c:bubble3D val="0"/>
            <c:spPr>
              <a:solidFill>
                <a:srgbClr val="FFC000"/>
              </a:solidFill>
              <a:ln w="19050">
                <a:noFill/>
              </a:ln>
              <a:effectLst/>
            </c:spPr>
            <c:extLst>
              <c:ext xmlns:c16="http://schemas.microsoft.com/office/drawing/2014/chart" uri="{C3380CC4-5D6E-409C-BE32-E72D297353CC}">
                <c16:uniqueId val="{0000000B-31FD-4389-A5CE-EF8F18DBE116}"/>
              </c:ext>
            </c:extLst>
          </c:dPt>
          <c:dPt>
            <c:idx val="6"/>
            <c:bubble3D val="0"/>
            <c:spPr>
              <a:solidFill>
                <a:srgbClr val="00B050"/>
              </a:solidFill>
              <a:ln w="19050">
                <a:noFill/>
              </a:ln>
              <a:effectLst/>
            </c:spPr>
            <c:extLst>
              <c:ext xmlns:c16="http://schemas.microsoft.com/office/drawing/2014/chart" uri="{C3380CC4-5D6E-409C-BE32-E72D297353CC}">
                <c16:uniqueId val="{0000000D-31FD-4389-A5CE-EF8F18DBE116}"/>
              </c:ext>
            </c:extLst>
          </c:dPt>
          <c:dPt>
            <c:idx val="7"/>
            <c:bubble3D val="0"/>
            <c:spPr>
              <a:noFill/>
              <a:ln w="19050">
                <a:noFill/>
              </a:ln>
              <a:effectLst/>
            </c:spPr>
            <c:extLst>
              <c:ext xmlns:c16="http://schemas.microsoft.com/office/drawing/2014/chart" uri="{C3380CC4-5D6E-409C-BE32-E72D297353CC}">
                <c16:uniqueId val="{0000000F-31FD-4389-A5CE-EF8F18DBE116}"/>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31FD-4389-A5CE-EF8F18DBE116}"/>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31FD-4389-A5CE-EF8F18DBE116}"/>
              </c:ext>
            </c:extLst>
          </c:dPt>
          <c:dPt>
            <c:idx val="1"/>
            <c:bubble3D val="0"/>
            <c:spPr>
              <a:solidFill>
                <a:schemeClr val="tx1"/>
              </a:solidFill>
              <a:ln w="19050">
                <a:noFill/>
              </a:ln>
              <a:effectLst/>
            </c:spPr>
            <c:extLst>
              <c:ext xmlns:c16="http://schemas.microsoft.com/office/drawing/2014/chart" uri="{C3380CC4-5D6E-409C-BE32-E72D297353CC}">
                <c16:uniqueId val="{00000014-31FD-4389-A5CE-EF8F18DBE116}"/>
              </c:ext>
            </c:extLst>
          </c:dPt>
          <c:dPt>
            <c:idx val="2"/>
            <c:bubble3D val="0"/>
            <c:spPr>
              <a:noFill/>
              <a:ln w="19050">
                <a:noFill/>
              </a:ln>
              <a:effectLst/>
            </c:spPr>
            <c:extLst>
              <c:ext xmlns:c16="http://schemas.microsoft.com/office/drawing/2014/chart" uri="{C3380CC4-5D6E-409C-BE32-E72D297353CC}">
                <c16:uniqueId val="{00000016-31FD-4389-A5CE-EF8F18DBE116}"/>
              </c:ext>
            </c:extLst>
          </c:dPt>
          <c:val>
            <c:numRef>
              <c:f>Reference!$J$47:$L$47</c:f>
              <c:numCache>
                <c:formatCode>General</c:formatCode>
                <c:ptCount val="3"/>
                <c:pt idx="0" formatCode="0%">
                  <c:v>1</c:v>
                </c:pt>
                <c:pt idx="1">
                  <c:v>0.03</c:v>
                </c:pt>
                <c:pt idx="2">
                  <c:v>0.97</c:v>
                </c:pt>
              </c:numCache>
            </c:numRef>
          </c:val>
          <c:extLst>
            <c:ext xmlns:c16="http://schemas.microsoft.com/office/drawing/2014/chart" uri="{C3380CC4-5D6E-409C-BE32-E72D297353CC}">
              <c16:uniqueId val="{00000017-31FD-4389-A5CE-EF8F18DBE116}"/>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457C-47B8-B1A5-88F0F16EF8E6}"/>
              </c:ext>
            </c:extLst>
          </c:dPt>
          <c:dPt>
            <c:idx val="1"/>
            <c:bubble3D val="0"/>
            <c:spPr>
              <a:solidFill>
                <a:srgbClr val="FF0000"/>
              </a:solidFill>
              <a:ln w="19050">
                <a:noFill/>
              </a:ln>
              <a:effectLst/>
            </c:spPr>
            <c:extLst>
              <c:ext xmlns:c16="http://schemas.microsoft.com/office/drawing/2014/chart" uri="{C3380CC4-5D6E-409C-BE32-E72D297353CC}">
                <c16:uniqueId val="{00000003-457C-47B8-B1A5-88F0F16EF8E6}"/>
              </c:ext>
            </c:extLst>
          </c:dPt>
          <c:dPt>
            <c:idx val="2"/>
            <c:bubble3D val="0"/>
            <c:spPr>
              <a:solidFill>
                <a:srgbClr val="FF0000"/>
              </a:solidFill>
              <a:ln w="19050">
                <a:noFill/>
              </a:ln>
              <a:effectLst/>
            </c:spPr>
            <c:extLst>
              <c:ext xmlns:c16="http://schemas.microsoft.com/office/drawing/2014/chart" uri="{C3380CC4-5D6E-409C-BE32-E72D297353CC}">
                <c16:uniqueId val="{00000005-457C-47B8-B1A5-88F0F16EF8E6}"/>
              </c:ext>
            </c:extLst>
          </c:dPt>
          <c:dPt>
            <c:idx val="3"/>
            <c:bubble3D val="0"/>
            <c:spPr>
              <a:solidFill>
                <a:srgbClr val="FF0000"/>
              </a:solidFill>
              <a:ln w="19050">
                <a:noFill/>
              </a:ln>
              <a:effectLst/>
            </c:spPr>
            <c:extLst>
              <c:ext xmlns:c16="http://schemas.microsoft.com/office/drawing/2014/chart" uri="{C3380CC4-5D6E-409C-BE32-E72D297353CC}">
                <c16:uniqueId val="{00000007-457C-47B8-B1A5-88F0F16EF8E6}"/>
              </c:ext>
            </c:extLst>
          </c:dPt>
          <c:dPt>
            <c:idx val="4"/>
            <c:bubble3D val="0"/>
            <c:spPr>
              <a:solidFill>
                <a:srgbClr val="FF0000"/>
              </a:solidFill>
              <a:ln w="19050">
                <a:noFill/>
              </a:ln>
              <a:effectLst/>
            </c:spPr>
            <c:extLst>
              <c:ext xmlns:c16="http://schemas.microsoft.com/office/drawing/2014/chart" uri="{C3380CC4-5D6E-409C-BE32-E72D297353CC}">
                <c16:uniqueId val="{00000009-457C-47B8-B1A5-88F0F16EF8E6}"/>
              </c:ext>
            </c:extLst>
          </c:dPt>
          <c:dPt>
            <c:idx val="5"/>
            <c:bubble3D val="0"/>
            <c:spPr>
              <a:solidFill>
                <a:srgbClr val="FFC000"/>
              </a:solidFill>
              <a:ln w="19050">
                <a:noFill/>
              </a:ln>
              <a:effectLst/>
            </c:spPr>
            <c:extLst>
              <c:ext xmlns:c16="http://schemas.microsoft.com/office/drawing/2014/chart" uri="{C3380CC4-5D6E-409C-BE32-E72D297353CC}">
                <c16:uniqueId val="{0000000B-457C-47B8-B1A5-88F0F16EF8E6}"/>
              </c:ext>
            </c:extLst>
          </c:dPt>
          <c:dPt>
            <c:idx val="6"/>
            <c:bubble3D val="0"/>
            <c:spPr>
              <a:solidFill>
                <a:srgbClr val="00B050"/>
              </a:solidFill>
              <a:ln w="19050">
                <a:noFill/>
              </a:ln>
              <a:effectLst/>
            </c:spPr>
            <c:extLst>
              <c:ext xmlns:c16="http://schemas.microsoft.com/office/drawing/2014/chart" uri="{C3380CC4-5D6E-409C-BE32-E72D297353CC}">
                <c16:uniqueId val="{0000000D-457C-47B8-B1A5-88F0F16EF8E6}"/>
              </c:ext>
            </c:extLst>
          </c:dPt>
          <c:dPt>
            <c:idx val="7"/>
            <c:bubble3D val="0"/>
            <c:spPr>
              <a:noFill/>
              <a:ln w="19050">
                <a:noFill/>
              </a:ln>
              <a:effectLst/>
            </c:spPr>
            <c:extLst>
              <c:ext xmlns:c16="http://schemas.microsoft.com/office/drawing/2014/chart" uri="{C3380CC4-5D6E-409C-BE32-E72D297353CC}">
                <c16:uniqueId val="{0000000F-457C-47B8-B1A5-88F0F16EF8E6}"/>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457C-47B8-B1A5-88F0F16EF8E6}"/>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457C-47B8-B1A5-88F0F16EF8E6}"/>
              </c:ext>
            </c:extLst>
          </c:dPt>
          <c:dPt>
            <c:idx val="1"/>
            <c:bubble3D val="0"/>
            <c:spPr>
              <a:solidFill>
                <a:schemeClr val="tx1"/>
              </a:solidFill>
              <a:ln w="19050">
                <a:noFill/>
              </a:ln>
              <a:effectLst/>
            </c:spPr>
            <c:extLst>
              <c:ext xmlns:c16="http://schemas.microsoft.com/office/drawing/2014/chart" uri="{C3380CC4-5D6E-409C-BE32-E72D297353CC}">
                <c16:uniqueId val="{00000014-457C-47B8-B1A5-88F0F16EF8E6}"/>
              </c:ext>
            </c:extLst>
          </c:dPt>
          <c:dPt>
            <c:idx val="2"/>
            <c:bubble3D val="0"/>
            <c:spPr>
              <a:noFill/>
              <a:ln w="19050">
                <a:noFill/>
              </a:ln>
              <a:effectLst/>
            </c:spPr>
            <c:extLst>
              <c:ext xmlns:c16="http://schemas.microsoft.com/office/drawing/2014/chart" uri="{C3380CC4-5D6E-409C-BE32-E72D297353CC}">
                <c16:uniqueId val="{00000016-457C-47B8-B1A5-88F0F16EF8E6}"/>
              </c:ext>
            </c:extLst>
          </c:dPt>
          <c:val>
            <c:numRef>
              <c:f>Reference!$R$47:$T$47</c:f>
              <c:numCache>
                <c:formatCode>General</c:formatCode>
                <c:ptCount val="3"/>
                <c:pt idx="0" formatCode="0%">
                  <c:v>0</c:v>
                </c:pt>
                <c:pt idx="1">
                  <c:v>0.03</c:v>
                </c:pt>
                <c:pt idx="2">
                  <c:v>1.97</c:v>
                </c:pt>
              </c:numCache>
            </c:numRef>
          </c:val>
          <c:extLst>
            <c:ext xmlns:c16="http://schemas.microsoft.com/office/drawing/2014/chart" uri="{C3380CC4-5D6E-409C-BE32-E72D297353CC}">
              <c16:uniqueId val="{00000017-457C-47B8-B1A5-88F0F16EF8E6}"/>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472B-4FAD-A303-41A5D2838685}"/>
              </c:ext>
            </c:extLst>
          </c:dPt>
          <c:dPt>
            <c:idx val="1"/>
            <c:bubble3D val="0"/>
            <c:spPr>
              <a:solidFill>
                <a:srgbClr val="FF0000"/>
              </a:solidFill>
              <a:ln w="19050">
                <a:noFill/>
              </a:ln>
              <a:effectLst/>
            </c:spPr>
            <c:extLst>
              <c:ext xmlns:c16="http://schemas.microsoft.com/office/drawing/2014/chart" uri="{C3380CC4-5D6E-409C-BE32-E72D297353CC}">
                <c16:uniqueId val="{00000003-472B-4FAD-A303-41A5D2838685}"/>
              </c:ext>
            </c:extLst>
          </c:dPt>
          <c:dPt>
            <c:idx val="2"/>
            <c:bubble3D val="0"/>
            <c:spPr>
              <a:solidFill>
                <a:srgbClr val="FF0000"/>
              </a:solidFill>
              <a:ln w="19050">
                <a:noFill/>
              </a:ln>
              <a:effectLst/>
            </c:spPr>
            <c:extLst>
              <c:ext xmlns:c16="http://schemas.microsoft.com/office/drawing/2014/chart" uri="{C3380CC4-5D6E-409C-BE32-E72D297353CC}">
                <c16:uniqueId val="{00000005-472B-4FAD-A303-41A5D2838685}"/>
              </c:ext>
            </c:extLst>
          </c:dPt>
          <c:dPt>
            <c:idx val="3"/>
            <c:bubble3D val="0"/>
            <c:spPr>
              <a:solidFill>
                <a:srgbClr val="FF0000"/>
              </a:solidFill>
              <a:ln w="19050">
                <a:noFill/>
              </a:ln>
              <a:effectLst/>
            </c:spPr>
            <c:extLst>
              <c:ext xmlns:c16="http://schemas.microsoft.com/office/drawing/2014/chart" uri="{C3380CC4-5D6E-409C-BE32-E72D297353CC}">
                <c16:uniqueId val="{00000007-472B-4FAD-A303-41A5D2838685}"/>
              </c:ext>
            </c:extLst>
          </c:dPt>
          <c:dPt>
            <c:idx val="4"/>
            <c:bubble3D val="0"/>
            <c:spPr>
              <a:solidFill>
                <a:srgbClr val="FF0000"/>
              </a:solidFill>
              <a:ln w="19050">
                <a:noFill/>
              </a:ln>
              <a:effectLst/>
            </c:spPr>
            <c:extLst>
              <c:ext xmlns:c16="http://schemas.microsoft.com/office/drawing/2014/chart" uri="{C3380CC4-5D6E-409C-BE32-E72D297353CC}">
                <c16:uniqueId val="{00000009-472B-4FAD-A303-41A5D2838685}"/>
              </c:ext>
            </c:extLst>
          </c:dPt>
          <c:dPt>
            <c:idx val="5"/>
            <c:bubble3D val="0"/>
            <c:spPr>
              <a:solidFill>
                <a:srgbClr val="FFC000"/>
              </a:solidFill>
              <a:ln w="19050">
                <a:noFill/>
              </a:ln>
              <a:effectLst/>
            </c:spPr>
            <c:extLst>
              <c:ext xmlns:c16="http://schemas.microsoft.com/office/drawing/2014/chart" uri="{C3380CC4-5D6E-409C-BE32-E72D297353CC}">
                <c16:uniqueId val="{0000000B-472B-4FAD-A303-41A5D2838685}"/>
              </c:ext>
            </c:extLst>
          </c:dPt>
          <c:dPt>
            <c:idx val="6"/>
            <c:bubble3D val="0"/>
            <c:spPr>
              <a:solidFill>
                <a:srgbClr val="00B050"/>
              </a:solidFill>
              <a:ln w="19050">
                <a:noFill/>
              </a:ln>
              <a:effectLst/>
            </c:spPr>
            <c:extLst>
              <c:ext xmlns:c16="http://schemas.microsoft.com/office/drawing/2014/chart" uri="{C3380CC4-5D6E-409C-BE32-E72D297353CC}">
                <c16:uniqueId val="{0000000D-472B-4FAD-A303-41A5D2838685}"/>
              </c:ext>
            </c:extLst>
          </c:dPt>
          <c:dPt>
            <c:idx val="7"/>
            <c:bubble3D val="0"/>
            <c:spPr>
              <a:noFill/>
              <a:ln w="19050">
                <a:noFill/>
              </a:ln>
              <a:effectLst/>
            </c:spPr>
            <c:extLst>
              <c:ext xmlns:c16="http://schemas.microsoft.com/office/drawing/2014/chart" uri="{C3380CC4-5D6E-409C-BE32-E72D297353CC}">
                <c16:uniqueId val="{0000000F-472B-4FAD-A303-41A5D2838685}"/>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472B-4FAD-A303-41A5D2838685}"/>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472B-4FAD-A303-41A5D2838685}"/>
              </c:ext>
            </c:extLst>
          </c:dPt>
          <c:dPt>
            <c:idx val="1"/>
            <c:bubble3D val="0"/>
            <c:spPr>
              <a:solidFill>
                <a:schemeClr val="tx1"/>
              </a:solidFill>
              <a:ln w="19050">
                <a:noFill/>
              </a:ln>
              <a:effectLst/>
            </c:spPr>
            <c:extLst>
              <c:ext xmlns:c16="http://schemas.microsoft.com/office/drawing/2014/chart" uri="{C3380CC4-5D6E-409C-BE32-E72D297353CC}">
                <c16:uniqueId val="{00000014-472B-4FAD-A303-41A5D2838685}"/>
              </c:ext>
            </c:extLst>
          </c:dPt>
          <c:dPt>
            <c:idx val="2"/>
            <c:bubble3D val="0"/>
            <c:spPr>
              <a:noFill/>
              <a:ln w="19050">
                <a:noFill/>
              </a:ln>
              <a:effectLst/>
            </c:spPr>
            <c:extLst>
              <c:ext xmlns:c16="http://schemas.microsoft.com/office/drawing/2014/chart" uri="{C3380CC4-5D6E-409C-BE32-E72D297353CC}">
                <c16:uniqueId val="{00000016-472B-4FAD-A303-41A5D2838685}"/>
              </c:ext>
            </c:extLst>
          </c:dPt>
          <c:val>
            <c:numRef>
              <c:f>Reference!$B$47:$D$47</c:f>
              <c:numCache>
                <c:formatCode>General</c:formatCode>
                <c:ptCount val="3"/>
                <c:pt idx="0" formatCode="0%">
                  <c:v>0.4</c:v>
                </c:pt>
                <c:pt idx="1">
                  <c:v>0.03</c:v>
                </c:pt>
                <c:pt idx="2" formatCode="0.00000%">
                  <c:v>0.41999999999999993</c:v>
                </c:pt>
              </c:numCache>
            </c:numRef>
          </c:val>
          <c:extLst>
            <c:ext xmlns:c16="http://schemas.microsoft.com/office/drawing/2014/chart" uri="{C3380CC4-5D6E-409C-BE32-E72D297353CC}">
              <c16:uniqueId val="{00000017-472B-4FAD-A303-41A5D2838685}"/>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2AA7-47BD-9492-671ED1737865}"/>
              </c:ext>
            </c:extLst>
          </c:dPt>
          <c:dPt>
            <c:idx val="1"/>
            <c:bubble3D val="0"/>
            <c:spPr>
              <a:solidFill>
                <a:srgbClr val="FF0000"/>
              </a:solidFill>
              <a:ln w="19050">
                <a:noFill/>
              </a:ln>
              <a:effectLst/>
            </c:spPr>
            <c:extLst>
              <c:ext xmlns:c16="http://schemas.microsoft.com/office/drawing/2014/chart" uri="{C3380CC4-5D6E-409C-BE32-E72D297353CC}">
                <c16:uniqueId val="{00000003-2AA7-47BD-9492-671ED1737865}"/>
              </c:ext>
            </c:extLst>
          </c:dPt>
          <c:dPt>
            <c:idx val="2"/>
            <c:bubble3D val="0"/>
            <c:spPr>
              <a:solidFill>
                <a:srgbClr val="FF0000"/>
              </a:solidFill>
              <a:ln w="19050">
                <a:noFill/>
              </a:ln>
              <a:effectLst/>
            </c:spPr>
            <c:extLst>
              <c:ext xmlns:c16="http://schemas.microsoft.com/office/drawing/2014/chart" uri="{C3380CC4-5D6E-409C-BE32-E72D297353CC}">
                <c16:uniqueId val="{00000005-2AA7-47BD-9492-671ED1737865}"/>
              </c:ext>
            </c:extLst>
          </c:dPt>
          <c:dPt>
            <c:idx val="3"/>
            <c:bubble3D val="0"/>
            <c:spPr>
              <a:solidFill>
                <a:srgbClr val="FF0000"/>
              </a:solidFill>
              <a:ln w="19050">
                <a:noFill/>
              </a:ln>
              <a:effectLst/>
            </c:spPr>
            <c:extLst>
              <c:ext xmlns:c16="http://schemas.microsoft.com/office/drawing/2014/chart" uri="{C3380CC4-5D6E-409C-BE32-E72D297353CC}">
                <c16:uniqueId val="{00000007-2AA7-47BD-9492-671ED1737865}"/>
              </c:ext>
            </c:extLst>
          </c:dPt>
          <c:dPt>
            <c:idx val="4"/>
            <c:bubble3D val="0"/>
            <c:spPr>
              <a:solidFill>
                <a:srgbClr val="FF0000"/>
              </a:solidFill>
              <a:ln w="19050">
                <a:noFill/>
              </a:ln>
              <a:effectLst/>
            </c:spPr>
            <c:extLst>
              <c:ext xmlns:c16="http://schemas.microsoft.com/office/drawing/2014/chart" uri="{C3380CC4-5D6E-409C-BE32-E72D297353CC}">
                <c16:uniqueId val="{00000009-2AA7-47BD-9492-671ED1737865}"/>
              </c:ext>
            </c:extLst>
          </c:dPt>
          <c:dPt>
            <c:idx val="5"/>
            <c:bubble3D val="0"/>
            <c:spPr>
              <a:solidFill>
                <a:srgbClr val="FFC000"/>
              </a:solidFill>
              <a:ln w="19050">
                <a:noFill/>
              </a:ln>
              <a:effectLst/>
            </c:spPr>
            <c:extLst>
              <c:ext xmlns:c16="http://schemas.microsoft.com/office/drawing/2014/chart" uri="{C3380CC4-5D6E-409C-BE32-E72D297353CC}">
                <c16:uniqueId val="{0000000B-2AA7-47BD-9492-671ED1737865}"/>
              </c:ext>
            </c:extLst>
          </c:dPt>
          <c:dPt>
            <c:idx val="6"/>
            <c:bubble3D val="0"/>
            <c:spPr>
              <a:solidFill>
                <a:srgbClr val="00B050"/>
              </a:solidFill>
              <a:ln w="19050">
                <a:noFill/>
              </a:ln>
              <a:effectLst/>
            </c:spPr>
            <c:extLst>
              <c:ext xmlns:c16="http://schemas.microsoft.com/office/drawing/2014/chart" uri="{C3380CC4-5D6E-409C-BE32-E72D297353CC}">
                <c16:uniqueId val="{0000000D-2AA7-47BD-9492-671ED1737865}"/>
              </c:ext>
            </c:extLst>
          </c:dPt>
          <c:dPt>
            <c:idx val="7"/>
            <c:bubble3D val="0"/>
            <c:spPr>
              <a:noFill/>
              <a:ln w="19050">
                <a:noFill/>
              </a:ln>
              <a:effectLst/>
            </c:spPr>
            <c:extLst>
              <c:ext xmlns:c16="http://schemas.microsoft.com/office/drawing/2014/chart" uri="{C3380CC4-5D6E-409C-BE32-E72D297353CC}">
                <c16:uniqueId val="{0000000F-2AA7-47BD-9492-671ED1737865}"/>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2AA7-47BD-9492-671ED1737865}"/>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2AA7-47BD-9492-671ED1737865}"/>
              </c:ext>
            </c:extLst>
          </c:dPt>
          <c:dPt>
            <c:idx val="1"/>
            <c:bubble3D val="0"/>
            <c:spPr>
              <a:solidFill>
                <a:schemeClr val="tx1"/>
              </a:solidFill>
              <a:ln w="19050">
                <a:noFill/>
              </a:ln>
              <a:effectLst/>
            </c:spPr>
            <c:extLst>
              <c:ext xmlns:c16="http://schemas.microsoft.com/office/drawing/2014/chart" uri="{C3380CC4-5D6E-409C-BE32-E72D297353CC}">
                <c16:uniqueId val="{00000014-2AA7-47BD-9492-671ED1737865}"/>
              </c:ext>
            </c:extLst>
          </c:dPt>
          <c:dPt>
            <c:idx val="2"/>
            <c:bubble3D val="0"/>
            <c:spPr>
              <a:noFill/>
              <a:ln w="19050">
                <a:noFill/>
              </a:ln>
              <a:effectLst/>
            </c:spPr>
            <c:extLst>
              <c:ext xmlns:c16="http://schemas.microsoft.com/office/drawing/2014/chart" uri="{C3380CC4-5D6E-409C-BE32-E72D297353CC}">
                <c16:uniqueId val="{00000016-2AA7-47BD-9492-671ED1737865}"/>
              </c:ext>
            </c:extLst>
          </c:dPt>
          <c:val>
            <c:numRef>
              <c:f>Reference!$B$106:$D$106</c:f>
              <c:numCache>
                <c:formatCode>General</c:formatCode>
                <c:ptCount val="3"/>
                <c:pt idx="0" formatCode="0%">
                  <c:v>1</c:v>
                </c:pt>
                <c:pt idx="1">
                  <c:v>0.03</c:v>
                </c:pt>
                <c:pt idx="2">
                  <c:v>0.97</c:v>
                </c:pt>
              </c:numCache>
            </c:numRef>
          </c:val>
          <c:extLst>
            <c:ext xmlns:c16="http://schemas.microsoft.com/office/drawing/2014/chart" uri="{C3380CC4-5D6E-409C-BE32-E72D297353CC}">
              <c16:uniqueId val="{00000017-2AA7-47BD-9492-671ED1737865}"/>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C91C-47BC-97C9-43ABF3AE2246}"/>
              </c:ext>
            </c:extLst>
          </c:dPt>
          <c:dPt>
            <c:idx val="1"/>
            <c:bubble3D val="0"/>
            <c:spPr>
              <a:solidFill>
                <a:srgbClr val="FF0000"/>
              </a:solidFill>
              <a:ln w="19050">
                <a:noFill/>
              </a:ln>
              <a:effectLst/>
            </c:spPr>
            <c:extLst>
              <c:ext xmlns:c16="http://schemas.microsoft.com/office/drawing/2014/chart" uri="{C3380CC4-5D6E-409C-BE32-E72D297353CC}">
                <c16:uniqueId val="{00000003-C91C-47BC-97C9-43ABF3AE2246}"/>
              </c:ext>
            </c:extLst>
          </c:dPt>
          <c:dPt>
            <c:idx val="2"/>
            <c:bubble3D val="0"/>
            <c:spPr>
              <a:solidFill>
                <a:srgbClr val="FF0000"/>
              </a:solidFill>
              <a:ln w="19050">
                <a:noFill/>
              </a:ln>
              <a:effectLst/>
            </c:spPr>
            <c:extLst>
              <c:ext xmlns:c16="http://schemas.microsoft.com/office/drawing/2014/chart" uri="{C3380CC4-5D6E-409C-BE32-E72D297353CC}">
                <c16:uniqueId val="{00000005-C91C-47BC-97C9-43ABF3AE2246}"/>
              </c:ext>
            </c:extLst>
          </c:dPt>
          <c:dPt>
            <c:idx val="3"/>
            <c:bubble3D val="0"/>
            <c:spPr>
              <a:solidFill>
                <a:srgbClr val="FF0000"/>
              </a:solidFill>
              <a:ln w="19050">
                <a:noFill/>
              </a:ln>
              <a:effectLst/>
            </c:spPr>
            <c:extLst>
              <c:ext xmlns:c16="http://schemas.microsoft.com/office/drawing/2014/chart" uri="{C3380CC4-5D6E-409C-BE32-E72D297353CC}">
                <c16:uniqueId val="{00000007-C91C-47BC-97C9-43ABF3AE2246}"/>
              </c:ext>
            </c:extLst>
          </c:dPt>
          <c:dPt>
            <c:idx val="4"/>
            <c:bubble3D val="0"/>
            <c:spPr>
              <a:solidFill>
                <a:srgbClr val="FF0000"/>
              </a:solidFill>
              <a:ln w="19050">
                <a:noFill/>
              </a:ln>
              <a:effectLst/>
            </c:spPr>
            <c:extLst>
              <c:ext xmlns:c16="http://schemas.microsoft.com/office/drawing/2014/chart" uri="{C3380CC4-5D6E-409C-BE32-E72D297353CC}">
                <c16:uniqueId val="{00000009-C91C-47BC-97C9-43ABF3AE2246}"/>
              </c:ext>
            </c:extLst>
          </c:dPt>
          <c:dPt>
            <c:idx val="5"/>
            <c:bubble3D val="0"/>
            <c:spPr>
              <a:solidFill>
                <a:srgbClr val="FFC000"/>
              </a:solidFill>
              <a:ln w="19050">
                <a:noFill/>
              </a:ln>
              <a:effectLst/>
            </c:spPr>
            <c:extLst>
              <c:ext xmlns:c16="http://schemas.microsoft.com/office/drawing/2014/chart" uri="{C3380CC4-5D6E-409C-BE32-E72D297353CC}">
                <c16:uniqueId val="{0000000B-C91C-47BC-97C9-43ABF3AE2246}"/>
              </c:ext>
            </c:extLst>
          </c:dPt>
          <c:dPt>
            <c:idx val="6"/>
            <c:bubble3D val="0"/>
            <c:spPr>
              <a:solidFill>
                <a:srgbClr val="00B050"/>
              </a:solidFill>
              <a:ln w="19050">
                <a:noFill/>
              </a:ln>
              <a:effectLst/>
            </c:spPr>
            <c:extLst>
              <c:ext xmlns:c16="http://schemas.microsoft.com/office/drawing/2014/chart" uri="{C3380CC4-5D6E-409C-BE32-E72D297353CC}">
                <c16:uniqueId val="{0000000D-C91C-47BC-97C9-43ABF3AE2246}"/>
              </c:ext>
            </c:extLst>
          </c:dPt>
          <c:dPt>
            <c:idx val="7"/>
            <c:bubble3D val="0"/>
            <c:spPr>
              <a:noFill/>
              <a:ln w="19050">
                <a:noFill/>
              </a:ln>
              <a:effectLst/>
            </c:spPr>
            <c:extLst>
              <c:ext xmlns:c16="http://schemas.microsoft.com/office/drawing/2014/chart" uri="{C3380CC4-5D6E-409C-BE32-E72D297353CC}">
                <c16:uniqueId val="{0000000F-C91C-47BC-97C9-43ABF3AE2246}"/>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C91C-47BC-97C9-43ABF3AE2246}"/>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C91C-47BC-97C9-43ABF3AE2246}"/>
              </c:ext>
            </c:extLst>
          </c:dPt>
          <c:dPt>
            <c:idx val="1"/>
            <c:bubble3D val="0"/>
            <c:spPr>
              <a:solidFill>
                <a:schemeClr val="tx1"/>
              </a:solidFill>
              <a:ln w="19050">
                <a:noFill/>
              </a:ln>
              <a:effectLst/>
            </c:spPr>
            <c:extLst>
              <c:ext xmlns:c16="http://schemas.microsoft.com/office/drawing/2014/chart" uri="{C3380CC4-5D6E-409C-BE32-E72D297353CC}">
                <c16:uniqueId val="{00000014-C91C-47BC-97C9-43ABF3AE2246}"/>
              </c:ext>
            </c:extLst>
          </c:dPt>
          <c:dPt>
            <c:idx val="2"/>
            <c:bubble3D val="0"/>
            <c:spPr>
              <a:noFill/>
              <a:ln w="19050">
                <a:noFill/>
              </a:ln>
              <a:effectLst/>
            </c:spPr>
            <c:extLst>
              <c:ext xmlns:c16="http://schemas.microsoft.com/office/drawing/2014/chart" uri="{C3380CC4-5D6E-409C-BE32-E72D297353CC}">
                <c16:uniqueId val="{00000016-C91C-47BC-97C9-43ABF3AE2246}"/>
              </c:ext>
            </c:extLst>
          </c:dPt>
          <c:val>
            <c:numRef>
              <c:f>Reference!$J$57:$L$57</c:f>
              <c:numCache>
                <c:formatCode>General</c:formatCode>
                <c:ptCount val="3"/>
                <c:pt idx="0" formatCode="0%">
                  <c:v>1</c:v>
                </c:pt>
                <c:pt idx="1">
                  <c:v>0.03</c:v>
                </c:pt>
                <c:pt idx="2" formatCode="0.00">
                  <c:v>0.97</c:v>
                </c:pt>
              </c:numCache>
            </c:numRef>
          </c:val>
          <c:extLst>
            <c:ext xmlns:c16="http://schemas.microsoft.com/office/drawing/2014/chart" uri="{C3380CC4-5D6E-409C-BE32-E72D297353CC}">
              <c16:uniqueId val="{00000017-C91C-47BC-97C9-43ABF3AE2246}"/>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43E4-4FF9-8A0F-AFA3E16A3F2C}"/>
              </c:ext>
            </c:extLst>
          </c:dPt>
          <c:dPt>
            <c:idx val="1"/>
            <c:bubble3D val="0"/>
            <c:spPr>
              <a:solidFill>
                <a:srgbClr val="FF0000"/>
              </a:solidFill>
              <a:ln w="19050">
                <a:noFill/>
              </a:ln>
              <a:effectLst/>
            </c:spPr>
            <c:extLst>
              <c:ext xmlns:c16="http://schemas.microsoft.com/office/drawing/2014/chart" uri="{C3380CC4-5D6E-409C-BE32-E72D297353CC}">
                <c16:uniqueId val="{00000003-43E4-4FF9-8A0F-AFA3E16A3F2C}"/>
              </c:ext>
            </c:extLst>
          </c:dPt>
          <c:dPt>
            <c:idx val="2"/>
            <c:bubble3D val="0"/>
            <c:spPr>
              <a:solidFill>
                <a:srgbClr val="FF0000"/>
              </a:solidFill>
              <a:ln w="19050">
                <a:noFill/>
              </a:ln>
              <a:effectLst/>
            </c:spPr>
            <c:extLst>
              <c:ext xmlns:c16="http://schemas.microsoft.com/office/drawing/2014/chart" uri="{C3380CC4-5D6E-409C-BE32-E72D297353CC}">
                <c16:uniqueId val="{00000005-43E4-4FF9-8A0F-AFA3E16A3F2C}"/>
              </c:ext>
            </c:extLst>
          </c:dPt>
          <c:dPt>
            <c:idx val="3"/>
            <c:bubble3D val="0"/>
            <c:spPr>
              <a:solidFill>
                <a:srgbClr val="FF0000"/>
              </a:solidFill>
              <a:ln w="19050">
                <a:noFill/>
              </a:ln>
              <a:effectLst/>
            </c:spPr>
            <c:extLst>
              <c:ext xmlns:c16="http://schemas.microsoft.com/office/drawing/2014/chart" uri="{C3380CC4-5D6E-409C-BE32-E72D297353CC}">
                <c16:uniqueId val="{00000007-43E4-4FF9-8A0F-AFA3E16A3F2C}"/>
              </c:ext>
            </c:extLst>
          </c:dPt>
          <c:dPt>
            <c:idx val="4"/>
            <c:bubble3D val="0"/>
            <c:spPr>
              <a:solidFill>
                <a:srgbClr val="FF0000"/>
              </a:solidFill>
              <a:ln w="19050">
                <a:noFill/>
              </a:ln>
              <a:effectLst/>
            </c:spPr>
            <c:extLst>
              <c:ext xmlns:c16="http://schemas.microsoft.com/office/drawing/2014/chart" uri="{C3380CC4-5D6E-409C-BE32-E72D297353CC}">
                <c16:uniqueId val="{00000009-43E4-4FF9-8A0F-AFA3E16A3F2C}"/>
              </c:ext>
            </c:extLst>
          </c:dPt>
          <c:dPt>
            <c:idx val="5"/>
            <c:bubble3D val="0"/>
            <c:spPr>
              <a:solidFill>
                <a:srgbClr val="FFC000"/>
              </a:solidFill>
              <a:ln w="19050">
                <a:noFill/>
              </a:ln>
              <a:effectLst/>
            </c:spPr>
            <c:extLst>
              <c:ext xmlns:c16="http://schemas.microsoft.com/office/drawing/2014/chart" uri="{C3380CC4-5D6E-409C-BE32-E72D297353CC}">
                <c16:uniqueId val="{0000000B-43E4-4FF9-8A0F-AFA3E16A3F2C}"/>
              </c:ext>
            </c:extLst>
          </c:dPt>
          <c:dPt>
            <c:idx val="6"/>
            <c:bubble3D val="0"/>
            <c:spPr>
              <a:solidFill>
                <a:srgbClr val="00B050"/>
              </a:solidFill>
              <a:ln w="19050">
                <a:noFill/>
              </a:ln>
              <a:effectLst/>
            </c:spPr>
            <c:extLst>
              <c:ext xmlns:c16="http://schemas.microsoft.com/office/drawing/2014/chart" uri="{C3380CC4-5D6E-409C-BE32-E72D297353CC}">
                <c16:uniqueId val="{0000000D-43E4-4FF9-8A0F-AFA3E16A3F2C}"/>
              </c:ext>
            </c:extLst>
          </c:dPt>
          <c:dPt>
            <c:idx val="7"/>
            <c:bubble3D val="0"/>
            <c:spPr>
              <a:noFill/>
              <a:ln w="19050">
                <a:noFill/>
              </a:ln>
              <a:effectLst/>
            </c:spPr>
            <c:extLst>
              <c:ext xmlns:c16="http://schemas.microsoft.com/office/drawing/2014/chart" uri="{C3380CC4-5D6E-409C-BE32-E72D297353CC}">
                <c16:uniqueId val="{0000000F-43E4-4FF9-8A0F-AFA3E16A3F2C}"/>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43E4-4FF9-8A0F-AFA3E16A3F2C}"/>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43E4-4FF9-8A0F-AFA3E16A3F2C}"/>
              </c:ext>
            </c:extLst>
          </c:dPt>
          <c:dPt>
            <c:idx val="1"/>
            <c:bubble3D val="0"/>
            <c:spPr>
              <a:solidFill>
                <a:schemeClr val="tx1"/>
              </a:solidFill>
              <a:ln w="19050">
                <a:noFill/>
              </a:ln>
              <a:effectLst/>
            </c:spPr>
            <c:extLst>
              <c:ext xmlns:c16="http://schemas.microsoft.com/office/drawing/2014/chart" uri="{C3380CC4-5D6E-409C-BE32-E72D297353CC}">
                <c16:uniqueId val="{00000014-43E4-4FF9-8A0F-AFA3E16A3F2C}"/>
              </c:ext>
            </c:extLst>
          </c:dPt>
          <c:dPt>
            <c:idx val="2"/>
            <c:bubble3D val="0"/>
            <c:spPr>
              <a:noFill/>
              <a:ln w="19050">
                <a:noFill/>
              </a:ln>
              <a:effectLst/>
            </c:spPr>
            <c:extLst>
              <c:ext xmlns:c16="http://schemas.microsoft.com/office/drawing/2014/chart" uri="{C3380CC4-5D6E-409C-BE32-E72D297353CC}">
                <c16:uniqueId val="{00000016-43E4-4FF9-8A0F-AFA3E16A3F2C}"/>
              </c:ext>
            </c:extLst>
          </c:dPt>
          <c:val>
            <c:numRef>
              <c:f>Reference!$J$57:$L$57</c:f>
              <c:numCache>
                <c:formatCode>General</c:formatCode>
                <c:ptCount val="3"/>
                <c:pt idx="0" formatCode="0%">
                  <c:v>1</c:v>
                </c:pt>
                <c:pt idx="1">
                  <c:v>0.03</c:v>
                </c:pt>
                <c:pt idx="2" formatCode="0.00">
                  <c:v>0.97</c:v>
                </c:pt>
              </c:numCache>
            </c:numRef>
          </c:val>
          <c:extLst>
            <c:ext xmlns:c16="http://schemas.microsoft.com/office/drawing/2014/chart" uri="{C3380CC4-5D6E-409C-BE32-E72D297353CC}">
              <c16:uniqueId val="{00000017-43E4-4FF9-8A0F-AFA3E16A3F2C}"/>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C2CA-42ED-A80A-64D77DC35F03}"/>
              </c:ext>
            </c:extLst>
          </c:dPt>
          <c:dPt>
            <c:idx val="1"/>
            <c:bubble3D val="0"/>
            <c:spPr>
              <a:solidFill>
                <a:srgbClr val="FF0000"/>
              </a:solidFill>
              <a:ln w="19050">
                <a:noFill/>
              </a:ln>
              <a:effectLst/>
            </c:spPr>
            <c:extLst>
              <c:ext xmlns:c16="http://schemas.microsoft.com/office/drawing/2014/chart" uri="{C3380CC4-5D6E-409C-BE32-E72D297353CC}">
                <c16:uniqueId val="{00000003-C2CA-42ED-A80A-64D77DC35F03}"/>
              </c:ext>
            </c:extLst>
          </c:dPt>
          <c:dPt>
            <c:idx val="2"/>
            <c:bubble3D val="0"/>
            <c:spPr>
              <a:solidFill>
                <a:srgbClr val="FF0000"/>
              </a:solidFill>
              <a:ln w="19050">
                <a:noFill/>
              </a:ln>
              <a:effectLst/>
            </c:spPr>
            <c:extLst>
              <c:ext xmlns:c16="http://schemas.microsoft.com/office/drawing/2014/chart" uri="{C3380CC4-5D6E-409C-BE32-E72D297353CC}">
                <c16:uniqueId val="{00000005-C2CA-42ED-A80A-64D77DC35F03}"/>
              </c:ext>
            </c:extLst>
          </c:dPt>
          <c:dPt>
            <c:idx val="3"/>
            <c:bubble3D val="0"/>
            <c:spPr>
              <a:solidFill>
                <a:srgbClr val="FF0000"/>
              </a:solidFill>
              <a:ln w="19050">
                <a:noFill/>
              </a:ln>
              <a:effectLst/>
            </c:spPr>
            <c:extLst>
              <c:ext xmlns:c16="http://schemas.microsoft.com/office/drawing/2014/chart" uri="{C3380CC4-5D6E-409C-BE32-E72D297353CC}">
                <c16:uniqueId val="{00000007-C2CA-42ED-A80A-64D77DC35F03}"/>
              </c:ext>
            </c:extLst>
          </c:dPt>
          <c:dPt>
            <c:idx val="4"/>
            <c:bubble3D val="0"/>
            <c:spPr>
              <a:solidFill>
                <a:srgbClr val="FF0000"/>
              </a:solidFill>
              <a:ln w="19050">
                <a:noFill/>
              </a:ln>
              <a:effectLst/>
            </c:spPr>
            <c:extLst>
              <c:ext xmlns:c16="http://schemas.microsoft.com/office/drawing/2014/chart" uri="{C3380CC4-5D6E-409C-BE32-E72D297353CC}">
                <c16:uniqueId val="{00000009-C2CA-42ED-A80A-64D77DC35F03}"/>
              </c:ext>
            </c:extLst>
          </c:dPt>
          <c:dPt>
            <c:idx val="5"/>
            <c:bubble3D val="0"/>
            <c:spPr>
              <a:solidFill>
                <a:srgbClr val="FFC000"/>
              </a:solidFill>
              <a:ln w="19050">
                <a:noFill/>
              </a:ln>
              <a:effectLst/>
            </c:spPr>
            <c:extLst>
              <c:ext xmlns:c16="http://schemas.microsoft.com/office/drawing/2014/chart" uri="{C3380CC4-5D6E-409C-BE32-E72D297353CC}">
                <c16:uniqueId val="{0000000B-C2CA-42ED-A80A-64D77DC35F03}"/>
              </c:ext>
            </c:extLst>
          </c:dPt>
          <c:dPt>
            <c:idx val="6"/>
            <c:bubble3D val="0"/>
            <c:spPr>
              <a:solidFill>
                <a:srgbClr val="00B050"/>
              </a:solidFill>
              <a:ln w="19050">
                <a:noFill/>
              </a:ln>
              <a:effectLst/>
            </c:spPr>
            <c:extLst>
              <c:ext xmlns:c16="http://schemas.microsoft.com/office/drawing/2014/chart" uri="{C3380CC4-5D6E-409C-BE32-E72D297353CC}">
                <c16:uniqueId val="{0000000D-C2CA-42ED-A80A-64D77DC35F03}"/>
              </c:ext>
            </c:extLst>
          </c:dPt>
          <c:dPt>
            <c:idx val="7"/>
            <c:bubble3D val="0"/>
            <c:spPr>
              <a:noFill/>
              <a:ln w="19050">
                <a:noFill/>
              </a:ln>
              <a:effectLst/>
            </c:spPr>
            <c:extLst>
              <c:ext xmlns:c16="http://schemas.microsoft.com/office/drawing/2014/chart" uri="{C3380CC4-5D6E-409C-BE32-E72D297353CC}">
                <c16:uniqueId val="{0000000F-C2CA-42ED-A80A-64D77DC35F03}"/>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C2CA-42ED-A80A-64D77DC35F03}"/>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C2CA-42ED-A80A-64D77DC35F03}"/>
              </c:ext>
            </c:extLst>
          </c:dPt>
          <c:dPt>
            <c:idx val="1"/>
            <c:bubble3D val="0"/>
            <c:spPr>
              <a:solidFill>
                <a:schemeClr val="tx1"/>
              </a:solidFill>
              <a:ln w="19050">
                <a:noFill/>
              </a:ln>
              <a:effectLst/>
            </c:spPr>
            <c:extLst>
              <c:ext xmlns:c16="http://schemas.microsoft.com/office/drawing/2014/chart" uri="{C3380CC4-5D6E-409C-BE32-E72D297353CC}">
                <c16:uniqueId val="{00000014-C2CA-42ED-A80A-64D77DC35F03}"/>
              </c:ext>
            </c:extLst>
          </c:dPt>
          <c:dPt>
            <c:idx val="2"/>
            <c:bubble3D val="0"/>
            <c:spPr>
              <a:noFill/>
              <a:ln w="19050">
                <a:noFill/>
              </a:ln>
              <a:effectLst/>
            </c:spPr>
            <c:extLst>
              <c:ext xmlns:c16="http://schemas.microsoft.com/office/drawing/2014/chart" uri="{C3380CC4-5D6E-409C-BE32-E72D297353CC}">
                <c16:uniqueId val="{00000016-C2CA-42ED-A80A-64D77DC35F03}"/>
              </c:ext>
            </c:extLst>
          </c:dPt>
          <c:val>
            <c:numRef>
              <c:f>Reference!$R$57:$T$57</c:f>
              <c:numCache>
                <c:formatCode>General</c:formatCode>
                <c:ptCount val="3"/>
                <c:pt idx="0" formatCode="0%">
                  <c:v>0</c:v>
                </c:pt>
                <c:pt idx="1">
                  <c:v>0.03</c:v>
                </c:pt>
                <c:pt idx="2">
                  <c:v>1.97</c:v>
                </c:pt>
              </c:numCache>
            </c:numRef>
          </c:val>
          <c:extLst>
            <c:ext xmlns:c16="http://schemas.microsoft.com/office/drawing/2014/chart" uri="{C3380CC4-5D6E-409C-BE32-E72D297353CC}">
              <c16:uniqueId val="{00000017-C2CA-42ED-A80A-64D77DC35F03}"/>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8749-4411-B031-8C2A259E1037}"/>
              </c:ext>
            </c:extLst>
          </c:dPt>
          <c:dPt>
            <c:idx val="1"/>
            <c:bubble3D val="0"/>
            <c:spPr>
              <a:solidFill>
                <a:srgbClr val="FF0000"/>
              </a:solidFill>
              <a:ln w="19050">
                <a:noFill/>
              </a:ln>
              <a:effectLst/>
            </c:spPr>
            <c:extLst>
              <c:ext xmlns:c16="http://schemas.microsoft.com/office/drawing/2014/chart" uri="{C3380CC4-5D6E-409C-BE32-E72D297353CC}">
                <c16:uniqueId val="{00000003-8749-4411-B031-8C2A259E1037}"/>
              </c:ext>
            </c:extLst>
          </c:dPt>
          <c:dPt>
            <c:idx val="2"/>
            <c:bubble3D val="0"/>
            <c:spPr>
              <a:solidFill>
                <a:srgbClr val="FF0000"/>
              </a:solidFill>
              <a:ln w="19050">
                <a:noFill/>
              </a:ln>
              <a:effectLst/>
            </c:spPr>
            <c:extLst>
              <c:ext xmlns:c16="http://schemas.microsoft.com/office/drawing/2014/chart" uri="{C3380CC4-5D6E-409C-BE32-E72D297353CC}">
                <c16:uniqueId val="{00000005-8749-4411-B031-8C2A259E1037}"/>
              </c:ext>
            </c:extLst>
          </c:dPt>
          <c:dPt>
            <c:idx val="3"/>
            <c:bubble3D val="0"/>
            <c:spPr>
              <a:solidFill>
                <a:srgbClr val="FF0000"/>
              </a:solidFill>
              <a:ln w="19050">
                <a:noFill/>
              </a:ln>
              <a:effectLst/>
            </c:spPr>
            <c:extLst>
              <c:ext xmlns:c16="http://schemas.microsoft.com/office/drawing/2014/chart" uri="{C3380CC4-5D6E-409C-BE32-E72D297353CC}">
                <c16:uniqueId val="{00000007-8749-4411-B031-8C2A259E1037}"/>
              </c:ext>
            </c:extLst>
          </c:dPt>
          <c:dPt>
            <c:idx val="4"/>
            <c:bubble3D val="0"/>
            <c:spPr>
              <a:solidFill>
                <a:srgbClr val="FF0000"/>
              </a:solidFill>
              <a:ln w="19050">
                <a:noFill/>
              </a:ln>
              <a:effectLst/>
            </c:spPr>
            <c:extLst>
              <c:ext xmlns:c16="http://schemas.microsoft.com/office/drawing/2014/chart" uri="{C3380CC4-5D6E-409C-BE32-E72D297353CC}">
                <c16:uniqueId val="{00000009-8749-4411-B031-8C2A259E1037}"/>
              </c:ext>
            </c:extLst>
          </c:dPt>
          <c:dPt>
            <c:idx val="5"/>
            <c:bubble3D val="0"/>
            <c:spPr>
              <a:solidFill>
                <a:srgbClr val="FFC000"/>
              </a:solidFill>
              <a:ln w="19050">
                <a:noFill/>
              </a:ln>
              <a:effectLst/>
            </c:spPr>
            <c:extLst>
              <c:ext xmlns:c16="http://schemas.microsoft.com/office/drawing/2014/chart" uri="{C3380CC4-5D6E-409C-BE32-E72D297353CC}">
                <c16:uniqueId val="{0000000B-8749-4411-B031-8C2A259E1037}"/>
              </c:ext>
            </c:extLst>
          </c:dPt>
          <c:dPt>
            <c:idx val="6"/>
            <c:bubble3D val="0"/>
            <c:spPr>
              <a:solidFill>
                <a:srgbClr val="00B050"/>
              </a:solidFill>
              <a:ln w="19050">
                <a:noFill/>
              </a:ln>
              <a:effectLst/>
            </c:spPr>
            <c:extLst>
              <c:ext xmlns:c16="http://schemas.microsoft.com/office/drawing/2014/chart" uri="{C3380CC4-5D6E-409C-BE32-E72D297353CC}">
                <c16:uniqueId val="{0000000D-8749-4411-B031-8C2A259E1037}"/>
              </c:ext>
            </c:extLst>
          </c:dPt>
          <c:dPt>
            <c:idx val="7"/>
            <c:bubble3D val="0"/>
            <c:spPr>
              <a:noFill/>
              <a:ln w="19050">
                <a:noFill/>
              </a:ln>
              <a:effectLst/>
            </c:spPr>
            <c:extLst>
              <c:ext xmlns:c16="http://schemas.microsoft.com/office/drawing/2014/chart" uri="{C3380CC4-5D6E-409C-BE32-E72D297353CC}">
                <c16:uniqueId val="{0000000F-8749-4411-B031-8C2A259E1037}"/>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8749-4411-B031-8C2A259E1037}"/>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8749-4411-B031-8C2A259E1037}"/>
              </c:ext>
            </c:extLst>
          </c:dPt>
          <c:dPt>
            <c:idx val="1"/>
            <c:bubble3D val="0"/>
            <c:spPr>
              <a:solidFill>
                <a:schemeClr val="tx1"/>
              </a:solidFill>
              <a:ln w="19050">
                <a:noFill/>
              </a:ln>
              <a:effectLst/>
            </c:spPr>
            <c:extLst>
              <c:ext xmlns:c16="http://schemas.microsoft.com/office/drawing/2014/chart" uri="{C3380CC4-5D6E-409C-BE32-E72D297353CC}">
                <c16:uniqueId val="{00000014-8749-4411-B031-8C2A259E1037}"/>
              </c:ext>
            </c:extLst>
          </c:dPt>
          <c:dPt>
            <c:idx val="2"/>
            <c:bubble3D val="0"/>
            <c:spPr>
              <a:noFill/>
              <a:ln w="19050">
                <a:noFill/>
              </a:ln>
              <a:effectLst/>
            </c:spPr>
            <c:extLst>
              <c:ext xmlns:c16="http://schemas.microsoft.com/office/drawing/2014/chart" uri="{C3380CC4-5D6E-409C-BE32-E72D297353CC}">
                <c16:uniqueId val="{00000016-8749-4411-B031-8C2A259E1037}"/>
              </c:ext>
            </c:extLst>
          </c:dPt>
          <c:val>
            <c:numRef>
              <c:f>Reference!$B$116:$D$116</c:f>
              <c:numCache>
                <c:formatCode>General</c:formatCode>
                <c:ptCount val="3"/>
                <c:pt idx="0" formatCode="0%">
                  <c:v>1</c:v>
                </c:pt>
                <c:pt idx="1">
                  <c:v>0.03</c:v>
                </c:pt>
                <c:pt idx="2">
                  <c:v>0.97</c:v>
                </c:pt>
              </c:numCache>
            </c:numRef>
          </c:val>
          <c:extLst>
            <c:ext xmlns:c16="http://schemas.microsoft.com/office/drawing/2014/chart" uri="{C3380CC4-5D6E-409C-BE32-E72D297353CC}">
              <c16:uniqueId val="{00000017-8749-4411-B031-8C2A259E1037}"/>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99FA-4CE3-840A-BA262DFD88F4}"/>
              </c:ext>
            </c:extLst>
          </c:dPt>
          <c:dPt>
            <c:idx val="1"/>
            <c:bubble3D val="0"/>
            <c:spPr>
              <a:solidFill>
                <a:srgbClr val="FF0000"/>
              </a:solidFill>
              <a:ln w="19050">
                <a:noFill/>
              </a:ln>
              <a:effectLst/>
            </c:spPr>
            <c:extLst>
              <c:ext xmlns:c16="http://schemas.microsoft.com/office/drawing/2014/chart" uri="{C3380CC4-5D6E-409C-BE32-E72D297353CC}">
                <c16:uniqueId val="{00000003-99FA-4CE3-840A-BA262DFD88F4}"/>
              </c:ext>
            </c:extLst>
          </c:dPt>
          <c:dPt>
            <c:idx val="2"/>
            <c:bubble3D val="0"/>
            <c:spPr>
              <a:solidFill>
                <a:srgbClr val="FF0000"/>
              </a:solidFill>
              <a:ln w="19050">
                <a:noFill/>
              </a:ln>
              <a:effectLst/>
            </c:spPr>
            <c:extLst>
              <c:ext xmlns:c16="http://schemas.microsoft.com/office/drawing/2014/chart" uri="{C3380CC4-5D6E-409C-BE32-E72D297353CC}">
                <c16:uniqueId val="{00000005-99FA-4CE3-840A-BA262DFD88F4}"/>
              </c:ext>
            </c:extLst>
          </c:dPt>
          <c:dPt>
            <c:idx val="3"/>
            <c:bubble3D val="0"/>
            <c:spPr>
              <a:solidFill>
                <a:srgbClr val="FF0000"/>
              </a:solidFill>
              <a:ln w="19050">
                <a:noFill/>
              </a:ln>
              <a:effectLst/>
            </c:spPr>
            <c:extLst>
              <c:ext xmlns:c16="http://schemas.microsoft.com/office/drawing/2014/chart" uri="{C3380CC4-5D6E-409C-BE32-E72D297353CC}">
                <c16:uniqueId val="{00000007-99FA-4CE3-840A-BA262DFD88F4}"/>
              </c:ext>
            </c:extLst>
          </c:dPt>
          <c:dPt>
            <c:idx val="4"/>
            <c:bubble3D val="0"/>
            <c:spPr>
              <a:solidFill>
                <a:srgbClr val="FF0000"/>
              </a:solidFill>
              <a:ln w="19050">
                <a:noFill/>
              </a:ln>
              <a:effectLst/>
            </c:spPr>
            <c:extLst>
              <c:ext xmlns:c16="http://schemas.microsoft.com/office/drawing/2014/chart" uri="{C3380CC4-5D6E-409C-BE32-E72D297353CC}">
                <c16:uniqueId val="{00000009-99FA-4CE3-840A-BA262DFD88F4}"/>
              </c:ext>
            </c:extLst>
          </c:dPt>
          <c:dPt>
            <c:idx val="5"/>
            <c:bubble3D val="0"/>
            <c:spPr>
              <a:solidFill>
                <a:srgbClr val="FFC000"/>
              </a:solidFill>
              <a:ln w="19050">
                <a:noFill/>
              </a:ln>
              <a:effectLst/>
            </c:spPr>
            <c:extLst>
              <c:ext xmlns:c16="http://schemas.microsoft.com/office/drawing/2014/chart" uri="{C3380CC4-5D6E-409C-BE32-E72D297353CC}">
                <c16:uniqueId val="{0000000B-99FA-4CE3-840A-BA262DFD88F4}"/>
              </c:ext>
            </c:extLst>
          </c:dPt>
          <c:dPt>
            <c:idx val="6"/>
            <c:bubble3D val="0"/>
            <c:spPr>
              <a:solidFill>
                <a:srgbClr val="00B050"/>
              </a:solidFill>
              <a:ln w="19050">
                <a:noFill/>
              </a:ln>
              <a:effectLst/>
            </c:spPr>
            <c:extLst>
              <c:ext xmlns:c16="http://schemas.microsoft.com/office/drawing/2014/chart" uri="{C3380CC4-5D6E-409C-BE32-E72D297353CC}">
                <c16:uniqueId val="{0000000D-99FA-4CE3-840A-BA262DFD88F4}"/>
              </c:ext>
            </c:extLst>
          </c:dPt>
          <c:dPt>
            <c:idx val="7"/>
            <c:bubble3D val="0"/>
            <c:spPr>
              <a:noFill/>
              <a:ln w="19050">
                <a:noFill/>
              </a:ln>
              <a:effectLst/>
            </c:spPr>
            <c:extLst>
              <c:ext xmlns:c16="http://schemas.microsoft.com/office/drawing/2014/chart" uri="{C3380CC4-5D6E-409C-BE32-E72D297353CC}">
                <c16:uniqueId val="{0000000F-99FA-4CE3-840A-BA262DFD88F4}"/>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99FA-4CE3-840A-BA262DFD88F4}"/>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99FA-4CE3-840A-BA262DFD88F4}"/>
              </c:ext>
            </c:extLst>
          </c:dPt>
          <c:dPt>
            <c:idx val="1"/>
            <c:bubble3D val="0"/>
            <c:spPr>
              <a:solidFill>
                <a:schemeClr val="tx1"/>
              </a:solidFill>
              <a:ln w="19050">
                <a:noFill/>
              </a:ln>
              <a:effectLst/>
            </c:spPr>
            <c:extLst>
              <c:ext xmlns:c16="http://schemas.microsoft.com/office/drawing/2014/chart" uri="{C3380CC4-5D6E-409C-BE32-E72D297353CC}">
                <c16:uniqueId val="{00000014-99FA-4CE3-840A-BA262DFD88F4}"/>
              </c:ext>
            </c:extLst>
          </c:dPt>
          <c:dPt>
            <c:idx val="2"/>
            <c:bubble3D val="0"/>
            <c:spPr>
              <a:noFill/>
              <a:ln w="19050">
                <a:noFill/>
              </a:ln>
              <a:effectLst/>
            </c:spPr>
            <c:extLst>
              <c:ext xmlns:c16="http://schemas.microsoft.com/office/drawing/2014/chart" uri="{C3380CC4-5D6E-409C-BE32-E72D297353CC}">
                <c16:uniqueId val="{00000016-99FA-4CE3-840A-BA262DFD88F4}"/>
              </c:ext>
            </c:extLst>
          </c:dPt>
          <c:val>
            <c:numRef>
              <c:f>Reference!$B$57:$D$57</c:f>
              <c:numCache>
                <c:formatCode>General</c:formatCode>
                <c:ptCount val="3"/>
                <c:pt idx="0" formatCode="0%">
                  <c:v>0.4</c:v>
                </c:pt>
                <c:pt idx="1">
                  <c:v>0.03</c:v>
                </c:pt>
                <c:pt idx="2" formatCode="0%">
                  <c:v>0.41999999999999993</c:v>
                </c:pt>
              </c:numCache>
            </c:numRef>
          </c:val>
          <c:extLst>
            <c:ext xmlns:c16="http://schemas.microsoft.com/office/drawing/2014/chart" uri="{C3380CC4-5D6E-409C-BE32-E72D297353CC}">
              <c16:uniqueId val="{00000017-99FA-4CE3-840A-BA262DFD88F4}"/>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5B00-4333-8CBF-8D28A787CA7A}"/>
              </c:ext>
            </c:extLst>
          </c:dPt>
          <c:dPt>
            <c:idx val="1"/>
            <c:bubble3D val="0"/>
            <c:spPr>
              <a:solidFill>
                <a:srgbClr val="FF0000"/>
              </a:solidFill>
              <a:ln w="19050">
                <a:noFill/>
              </a:ln>
              <a:effectLst/>
            </c:spPr>
            <c:extLst>
              <c:ext xmlns:c16="http://schemas.microsoft.com/office/drawing/2014/chart" uri="{C3380CC4-5D6E-409C-BE32-E72D297353CC}">
                <c16:uniqueId val="{00000003-5B00-4333-8CBF-8D28A787CA7A}"/>
              </c:ext>
            </c:extLst>
          </c:dPt>
          <c:dPt>
            <c:idx val="2"/>
            <c:bubble3D val="0"/>
            <c:spPr>
              <a:solidFill>
                <a:srgbClr val="FF0000"/>
              </a:solidFill>
              <a:ln w="19050">
                <a:noFill/>
              </a:ln>
              <a:effectLst/>
            </c:spPr>
            <c:extLst>
              <c:ext xmlns:c16="http://schemas.microsoft.com/office/drawing/2014/chart" uri="{C3380CC4-5D6E-409C-BE32-E72D297353CC}">
                <c16:uniqueId val="{00000005-5B00-4333-8CBF-8D28A787CA7A}"/>
              </c:ext>
            </c:extLst>
          </c:dPt>
          <c:dPt>
            <c:idx val="3"/>
            <c:bubble3D val="0"/>
            <c:spPr>
              <a:solidFill>
                <a:srgbClr val="FF0000"/>
              </a:solidFill>
              <a:ln w="19050">
                <a:noFill/>
              </a:ln>
              <a:effectLst/>
            </c:spPr>
            <c:extLst>
              <c:ext xmlns:c16="http://schemas.microsoft.com/office/drawing/2014/chart" uri="{C3380CC4-5D6E-409C-BE32-E72D297353CC}">
                <c16:uniqueId val="{00000007-5B00-4333-8CBF-8D28A787CA7A}"/>
              </c:ext>
            </c:extLst>
          </c:dPt>
          <c:dPt>
            <c:idx val="4"/>
            <c:bubble3D val="0"/>
            <c:spPr>
              <a:solidFill>
                <a:srgbClr val="FF0000"/>
              </a:solidFill>
              <a:ln w="19050">
                <a:noFill/>
              </a:ln>
              <a:effectLst/>
            </c:spPr>
            <c:extLst>
              <c:ext xmlns:c16="http://schemas.microsoft.com/office/drawing/2014/chart" uri="{C3380CC4-5D6E-409C-BE32-E72D297353CC}">
                <c16:uniqueId val="{00000009-5B00-4333-8CBF-8D28A787CA7A}"/>
              </c:ext>
            </c:extLst>
          </c:dPt>
          <c:dPt>
            <c:idx val="5"/>
            <c:bubble3D val="0"/>
            <c:spPr>
              <a:solidFill>
                <a:srgbClr val="FFC000"/>
              </a:solidFill>
              <a:ln w="19050">
                <a:noFill/>
              </a:ln>
              <a:effectLst/>
            </c:spPr>
            <c:extLst>
              <c:ext xmlns:c16="http://schemas.microsoft.com/office/drawing/2014/chart" uri="{C3380CC4-5D6E-409C-BE32-E72D297353CC}">
                <c16:uniqueId val="{0000000B-5B00-4333-8CBF-8D28A787CA7A}"/>
              </c:ext>
            </c:extLst>
          </c:dPt>
          <c:dPt>
            <c:idx val="6"/>
            <c:bubble3D val="0"/>
            <c:spPr>
              <a:solidFill>
                <a:srgbClr val="00B050"/>
              </a:solidFill>
              <a:ln w="19050">
                <a:noFill/>
              </a:ln>
              <a:effectLst/>
            </c:spPr>
            <c:extLst>
              <c:ext xmlns:c16="http://schemas.microsoft.com/office/drawing/2014/chart" uri="{C3380CC4-5D6E-409C-BE32-E72D297353CC}">
                <c16:uniqueId val="{0000000D-5B00-4333-8CBF-8D28A787CA7A}"/>
              </c:ext>
            </c:extLst>
          </c:dPt>
          <c:dPt>
            <c:idx val="7"/>
            <c:bubble3D val="0"/>
            <c:spPr>
              <a:noFill/>
              <a:ln w="19050">
                <a:noFill/>
              </a:ln>
              <a:effectLst/>
            </c:spPr>
            <c:extLst>
              <c:ext xmlns:c16="http://schemas.microsoft.com/office/drawing/2014/chart" uri="{C3380CC4-5D6E-409C-BE32-E72D297353CC}">
                <c16:uniqueId val="{0000000F-5B00-4333-8CBF-8D28A787CA7A}"/>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5B00-4333-8CBF-8D28A787CA7A}"/>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5B00-4333-8CBF-8D28A787CA7A}"/>
              </c:ext>
            </c:extLst>
          </c:dPt>
          <c:dPt>
            <c:idx val="1"/>
            <c:bubble3D val="0"/>
            <c:spPr>
              <a:solidFill>
                <a:schemeClr val="tx1"/>
              </a:solidFill>
              <a:ln w="19050">
                <a:noFill/>
              </a:ln>
              <a:effectLst/>
            </c:spPr>
            <c:extLst>
              <c:ext xmlns:c16="http://schemas.microsoft.com/office/drawing/2014/chart" uri="{C3380CC4-5D6E-409C-BE32-E72D297353CC}">
                <c16:uniqueId val="{00000014-5B00-4333-8CBF-8D28A787CA7A}"/>
              </c:ext>
            </c:extLst>
          </c:dPt>
          <c:dPt>
            <c:idx val="2"/>
            <c:bubble3D val="0"/>
            <c:spPr>
              <a:noFill/>
              <a:ln w="19050">
                <a:noFill/>
              </a:ln>
              <a:effectLst/>
            </c:spPr>
            <c:extLst>
              <c:ext xmlns:c16="http://schemas.microsoft.com/office/drawing/2014/chart" uri="{C3380CC4-5D6E-409C-BE32-E72D297353CC}">
                <c16:uniqueId val="{00000016-5B00-4333-8CBF-8D28A787CA7A}"/>
              </c:ext>
            </c:extLst>
          </c:dPt>
          <c:val>
            <c:numRef>
              <c:f>Reference!$J$9:$L$9</c:f>
              <c:numCache>
                <c:formatCode>General</c:formatCode>
                <c:ptCount val="3"/>
                <c:pt idx="0" formatCode="0%">
                  <c:v>1</c:v>
                </c:pt>
                <c:pt idx="1">
                  <c:v>0.03</c:v>
                </c:pt>
                <c:pt idx="2">
                  <c:v>0.97</c:v>
                </c:pt>
              </c:numCache>
            </c:numRef>
          </c:val>
          <c:extLst>
            <c:ext xmlns:c16="http://schemas.microsoft.com/office/drawing/2014/chart" uri="{C3380CC4-5D6E-409C-BE32-E72D297353CC}">
              <c16:uniqueId val="{00000017-5B00-4333-8CBF-8D28A787CA7A}"/>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BC4B-49EA-9CF5-410FA83858D2}"/>
              </c:ext>
            </c:extLst>
          </c:dPt>
          <c:dPt>
            <c:idx val="1"/>
            <c:bubble3D val="0"/>
            <c:spPr>
              <a:solidFill>
                <a:srgbClr val="FF0000"/>
              </a:solidFill>
              <a:ln w="19050">
                <a:noFill/>
              </a:ln>
              <a:effectLst/>
            </c:spPr>
            <c:extLst>
              <c:ext xmlns:c16="http://schemas.microsoft.com/office/drawing/2014/chart" uri="{C3380CC4-5D6E-409C-BE32-E72D297353CC}">
                <c16:uniqueId val="{00000003-BC4B-49EA-9CF5-410FA83858D2}"/>
              </c:ext>
            </c:extLst>
          </c:dPt>
          <c:dPt>
            <c:idx val="2"/>
            <c:bubble3D val="0"/>
            <c:spPr>
              <a:solidFill>
                <a:srgbClr val="FF0000"/>
              </a:solidFill>
              <a:ln w="19050">
                <a:noFill/>
              </a:ln>
              <a:effectLst/>
            </c:spPr>
            <c:extLst>
              <c:ext xmlns:c16="http://schemas.microsoft.com/office/drawing/2014/chart" uri="{C3380CC4-5D6E-409C-BE32-E72D297353CC}">
                <c16:uniqueId val="{00000005-BC4B-49EA-9CF5-410FA83858D2}"/>
              </c:ext>
            </c:extLst>
          </c:dPt>
          <c:dPt>
            <c:idx val="3"/>
            <c:bubble3D val="0"/>
            <c:spPr>
              <a:solidFill>
                <a:srgbClr val="FF0000"/>
              </a:solidFill>
              <a:ln w="19050">
                <a:noFill/>
              </a:ln>
              <a:effectLst/>
            </c:spPr>
            <c:extLst>
              <c:ext xmlns:c16="http://schemas.microsoft.com/office/drawing/2014/chart" uri="{C3380CC4-5D6E-409C-BE32-E72D297353CC}">
                <c16:uniqueId val="{00000007-BC4B-49EA-9CF5-410FA83858D2}"/>
              </c:ext>
            </c:extLst>
          </c:dPt>
          <c:dPt>
            <c:idx val="4"/>
            <c:bubble3D val="0"/>
            <c:spPr>
              <a:solidFill>
                <a:srgbClr val="FF0000"/>
              </a:solidFill>
              <a:ln w="19050">
                <a:noFill/>
              </a:ln>
              <a:effectLst/>
            </c:spPr>
            <c:extLst>
              <c:ext xmlns:c16="http://schemas.microsoft.com/office/drawing/2014/chart" uri="{C3380CC4-5D6E-409C-BE32-E72D297353CC}">
                <c16:uniqueId val="{00000009-BC4B-49EA-9CF5-410FA83858D2}"/>
              </c:ext>
            </c:extLst>
          </c:dPt>
          <c:dPt>
            <c:idx val="5"/>
            <c:bubble3D val="0"/>
            <c:spPr>
              <a:solidFill>
                <a:srgbClr val="FFC000"/>
              </a:solidFill>
              <a:ln w="19050">
                <a:noFill/>
              </a:ln>
              <a:effectLst/>
            </c:spPr>
            <c:extLst>
              <c:ext xmlns:c16="http://schemas.microsoft.com/office/drawing/2014/chart" uri="{C3380CC4-5D6E-409C-BE32-E72D297353CC}">
                <c16:uniqueId val="{0000000B-BC4B-49EA-9CF5-410FA83858D2}"/>
              </c:ext>
            </c:extLst>
          </c:dPt>
          <c:dPt>
            <c:idx val="6"/>
            <c:bubble3D val="0"/>
            <c:spPr>
              <a:solidFill>
                <a:srgbClr val="00B050"/>
              </a:solidFill>
              <a:ln w="19050">
                <a:noFill/>
              </a:ln>
              <a:effectLst/>
            </c:spPr>
            <c:extLst>
              <c:ext xmlns:c16="http://schemas.microsoft.com/office/drawing/2014/chart" uri="{C3380CC4-5D6E-409C-BE32-E72D297353CC}">
                <c16:uniqueId val="{0000000D-BC4B-49EA-9CF5-410FA83858D2}"/>
              </c:ext>
            </c:extLst>
          </c:dPt>
          <c:dPt>
            <c:idx val="7"/>
            <c:bubble3D val="0"/>
            <c:spPr>
              <a:noFill/>
              <a:ln w="19050">
                <a:noFill/>
              </a:ln>
              <a:effectLst/>
            </c:spPr>
            <c:extLst>
              <c:ext xmlns:c16="http://schemas.microsoft.com/office/drawing/2014/chart" uri="{C3380CC4-5D6E-409C-BE32-E72D297353CC}">
                <c16:uniqueId val="{0000000F-BC4B-49EA-9CF5-410FA83858D2}"/>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BC4B-49EA-9CF5-410FA83858D2}"/>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BC4B-49EA-9CF5-410FA83858D2}"/>
              </c:ext>
            </c:extLst>
          </c:dPt>
          <c:dPt>
            <c:idx val="1"/>
            <c:bubble3D val="0"/>
            <c:spPr>
              <a:solidFill>
                <a:schemeClr val="tx1"/>
              </a:solidFill>
              <a:ln w="19050">
                <a:noFill/>
              </a:ln>
              <a:effectLst/>
            </c:spPr>
            <c:extLst>
              <c:ext xmlns:c16="http://schemas.microsoft.com/office/drawing/2014/chart" uri="{C3380CC4-5D6E-409C-BE32-E72D297353CC}">
                <c16:uniqueId val="{00000014-BC4B-49EA-9CF5-410FA83858D2}"/>
              </c:ext>
            </c:extLst>
          </c:dPt>
          <c:dPt>
            <c:idx val="2"/>
            <c:bubble3D val="0"/>
            <c:spPr>
              <a:noFill/>
              <a:ln w="19050">
                <a:noFill/>
              </a:ln>
              <a:effectLst/>
            </c:spPr>
            <c:extLst>
              <c:ext xmlns:c16="http://schemas.microsoft.com/office/drawing/2014/chart" uri="{C3380CC4-5D6E-409C-BE32-E72D297353CC}">
                <c16:uniqueId val="{00000016-BC4B-49EA-9CF5-410FA83858D2}"/>
              </c:ext>
            </c:extLst>
          </c:dPt>
          <c:val>
            <c:numRef>
              <c:f>Reference!$J$17:$L$17</c:f>
              <c:numCache>
                <c:formatCode>General</c:formatCode>
                <c:ptCount val="3"/>
                <c:pt idx="0" formatCode="0%">
                  <c:v>1</c:v>
                </c:pt>
                <c:pt idx="1">
                  <c:v>0.03</c:v>
                </c:pt>
                <c:pt idx="2" formatCode="0%">
                  <c:v>0.97</c:v>
                </c:pt>
              </c:numCache>
            </c:numRef>
          </c:val>
          <c:extLst>
            <c:ext xmlns:c16="http://schemas.microsoft.com/office/drawing/2014/chart" uri="{C3380CC4-5D6E-409C-BE32-E72D297353CC}">
              <c16:uniqueId val="{00000017-BC4B-49EA-9CF5-410FA83858D2}"/>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6425-4357-BEFC-83269A190D2A}"/>
              </c:ext>
            </c:extLst>
          </c:dPt>
          <c:dPt>
            <c:idx val="1"/>
            <c:bubble3D val="0"/>
            <c:spPr>
              <a:solidFill>
                <a:srgbClr val="FF0000"/>
              </a:solidFill>
              <a:ln w="19050">
                <a:noFill/>
              </a:ln>
              <a:effectLst/>
            </c:spPr>
            <c:extLst>
              <c:ext xmlns:c16="http://schemas.microsoft.com/office/drawing/2014/chart" uri="{C3380CC4-5D6E-409C-BE32-E72D297353CC}">
                <c16:uniqueId val="{00000003-6425-4357-BEFC-83269A190D2A}"/>
              </c:ext>
            </c:extLst>
          </c:dPt>
          <c:dPt>
            <c:idx val="2"/>
            <c:bubble3D val="0"/>
            <c:spPr>
              <a:solidFill>
                <a:srgbClr val="FF0000"/>
              </a:solidFill>
              <a:ln w="19050">
                <a:noFill/>
              </a:ln>
              <a:effectLst/>
            </c:spPr>
            <c:extLst>
              <c:ext xmlns:c16="http://schemas.microsoft.com/office/drawing/2014/chart" uri="{C3380CC4-5D6E-409C-BE32-E72D297353CC}">
                <c16:uniqueId val="{00000005-6425-4357-BEFC-83269A190D2A}"/>
              </c:ext>
            </c:extLst>
          </c:dPt>
          <c:dPt>
            <c:idx val="3"/>
            <c:bubble3D val="0"/>
            <c:spPr>
              <a:solidFill>
                <a:srgbClr val="FF0000"/>
              </a:solidFill>
              <a:ln w="19050">
                <a:noFill/>
              </a:ln>
              <a:effectLst/>
            </c:spPr>
            <c:extLst>
              <c:ext xmlns:c16="http://schemas.microsoft.com/office/drawing/2014/chart" uri="{C3380CC4-5D6E-409C-BE32-E72D297353CC}">
                <c16:uniqueId val="{00000007-6425-4357-BEFC-83269A190D2A}"/>
              </c:ext>
            </c:extLst>
          </c:dPt>
          <c:dPt>
            <c:idx val="4"/>
            <c:bubble3D val="0"/>
            <c:spPr>
              <a:solidFill>
                <a:srgbClr val="FF0000"/>
              </a:solidFill>
              <a:ln w="19050">
                <a:noFill/>
              </a:ln>
              <a:effectLst/>
            </c:spPr>
            <c:extLst>
              <c:ext xmlns:c16="http://schemas.microsoft.com/office/drawing/2014/chart" uri="{C3380CC4-5D6E-409C-BE32-E72D297353CC}">
                <c16:uniqueId val="{00000009-6425-4357-BEFC-83269A190D2A}"/>
              </c:ext>
            </c:extLst>
          </c:dPt>
          <c:dPt>
            <c:idx val="5"/>
            <c:bubble3D val="0"/>
            <c:spPr>
              <a:solidFill>
                <a:srgbClr val="FFC000"/>
              </a:solidFill>
              <a:ln w="19050">
                <a:noFill/>
              </a:ln>
              <a:effectLst/>
            </c:spPr>
            <c:extLst>
              <c:ext xmlns:c16="http://schemas.microsoft.com/office/drawing/2014/chart" uri="{C3380CC4-5D6E-409C-BE32-E72D297353CC}">
                <c16:uniqueId val="{0000000B-6425-4357-BEFC-83269A190D2A}"/>
              </c:ext>
            </c:extLst>
          </c:dPt>
          <c:dPt>
            <c:idx val="6"/>
            <c:bubble3D val="0"/>
            <c:spPr>
              <a:solidFill>
                <a:srgbClr val="00B050"/>
              </a:solidFill>
              <a:ln w="19050">
                <a:noFill/>
              </a:ln>
              <a:effectLst/>
            </c:spPr>
            <c:extLst>
              <c:ext xmlns:c16="http://schemas.microsoft.com/office/drawing/2014/chart" uri="{C3380CC4-5D6E-409C-BE32-E72D297353CC}">
                <c16:uniqueId val="{0000000D-6425-4357-BEFC-83269A190D2A}"/>
              </c:ext>
            </c:extLst>
          </c:dPt>
          <c:dPt>
            <c:idx val="7"/>
            <c:bubble3D val="0"/>
            <c:spPr>
              <a:noFill/>
              <a:ln w="19050">
                <a:noFill/>
              </a:ln>
              <a:effectLst/>
            </c:spPr>
            <c:extLst>
              <c:ext xmlns:c16="http://schemas.microsoft.com/office/drawing/2014/chart" uri="{C3380CC4-5D6E-409C-BE32-E72D297353CC}">
                <c16:uniqueId val="{0000000F-6425-4357-BEFC-83269A190D2A}"/>
              </c:ext>
            </c:extLst>
          </c:dPt>
          <c:val>
            <c:numLit>
              <c:formatCode>General</c:formatCode>
              <c:ptCount val="8"/>
              <c:pt idx="0">
                <c:v>1</c:v>
              </c:pt>
              <c:pt idx="1">
                <c:v>1</c:v>
              </c:pt>
              <c:pt idx="2">
                <c:v>1</c:v>
              </c:pt>
              <c:pt idx="3">
                <c:v>1</c:v>
              </c:pt>
              <c:pt idx="4">
                <c:v>1</c:v>
              </c:pt>
              <c:pt idx="5">
                <c:v>1</c:v>
              </c:pt>
              <c:pt idx="6">
                <c:v>1</c:v>
              </c:pt>
              <c:pt idx="7">
                <c:v>7</c:v>
              </c:pt>
            </c:numLit>
          </c:val>
          <c:extLst>
            <c:ext xmlns:c16="http://schemas.microsoft.com/office/drawing/2014/chart" uri="{C3380CC4-5D6E-409C-BE32-E72D297353CC}">
              <c16:uniqueId val="{00000010-6425-4357-BEFC-83269A190D2A}"/>
            </c:ext>
          </c:extLst>
        </c:ser>
        <c:dLbls>
          <c:showLegendKey val="0"/>
          <c:showVal val="0"/>
          <c:showCatName val="0"/>
          <c:showSerName val="0"/>
          <c:showPercent val="0"/>
          <c:showBubbleSize val="0"/>
          <c:showLeaderLines val="1"/>
        </c:dLbls>
        <c:firstSliceAng val="270"/>
        <c:holeSize val="40"/>
      </c:doughnutChart>
      <c:pieChart>
        <c:varyColors val="1"/>
        <c:ser>
          <c:idx val="1"/>
          <c:order val="1"/>
          <c:spPr>
            <a:ln>
              <a:noFill/>
            </a:ln>
          </c:spPr>
          <c:dPt>
            <c:idx val="0"/>
            <c:bubble3D val="0"/>
            <c:spPr>
              <a:noFill/>
              <a:ln w="19050">
                <a:noFill/>
              </a:ln>
              <a:effectLst/>
            </c:spPr>
            <c:extLst>
              <c:ext xmlns:c16="http://schemas.microsoft.com/office/drawing/2014/chart" uri="{C3380CC4-5D6E-409C-BE32-E72D297353CC}">
                <c16:uniqueId val="{00000012-6425-4357-BEFC-83269A190D2A}"/>
              </c:ext>
            </c:extLst>
          </c:dPt>
          <c:dPt>
            <c:idx val="1"/>
            <c:bubble3D val="0"/>
            <c:spPr>
              <a:solidFill>
                <a:schemeClr val="tx1"/>
              </a:solidFill>
              <a:ln w="19050">
                <a:noFill/>
              </a:ln>
              <a:effectLst/>
            </c:spPr>
            <c:extLst>
              <c:ext xmlns:c16="http://schemas.microsoft.com/office/drawing/2014/chart" uri="{C3380CC4-5D6E-409C-BE32-E72D297353CC}">
                <c16:uniqueId val="{00000014-6425-4357-BEFC-83269A190D2A}"/>
              </c:ext>
            </c:extLst>
          </c:dPt>
          <c:dPt>
            <c:idx val="2"/>
            <c:bubble3D val="0"/>
            <c:spPr>
              <a:noFill/>
              <a:ln w="19050">
                <a:noFill/>
              </a:ln>
              <a:effectLst/>
            </c:spPr>
            <c:extLst>
              <c:ext xmlns:c16="http://schemas.microsoft.com/office/drawing/2014/chart" uri="{C3380CC4-5D6E-409C-BE32-E72D297353CC}">
                <c16:uniqueId val="{00000016-6425-4357-BEFC-83269A190D2A}"/>
              </c:ext>
            </c:extLst>
          </c:dPt>
          <c:val>
            <c:numRef>
              <c:f>Reference!$J$28:$L$28</c:f>
              <c:numCache>
                <c:formatCode>General</c:formatCode>
                <c:ptCount val="3"/>
                <c:pt idx="0" formatCode="0%">
                  <c:v>0.218</c:v>
                </c:pt>
                <c:pt idx="1">
                  <c:v>7.0000000000000001E-3</c:v>
                </c:pt>
                <c:pt idx="2" formatCode="0.00">
                  <c:v>0.22500000000000001</c:v>
                </c:pt>
              </c:numCache>
            </c:numRef>
          </c:val>
          <c:extLst>
            <c:ext xmlns:c16="http://schemas.microsoft.com/office/drawing/2014/chart" uri="{C3380CC4-5D6E-409C-BE32-E72D297353CC}">
              <c16:uniqueId val="{00000017-6425-4357-BEFC-83269A190D2A}"/>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emf"/><Relationship Id="rId7" Type="http://schemas.openxmlformats.org/officeDocument/2006/relationships/image" Target="../media/image1.png"/><Relationship Id="rId2" Type="http://schemas.openxmlformats.org/officeDocument/2006/relationships/image" Target="../media/image3.emf"/><Relationship Id="rId1" Type="http://schemas.openxmlformats.org/officeDocument/2006/relationships/image" Target="../media/image2.emf"/><Relationship Id="rId6" Type="http://schemas.openxmlformats.org/officeDocument/2006/relationships/image" Target="../media/image7.emf"/><Relationship Id="rId5" Type="http://schemas.openxmlformats.org/officeDocument/2006/relationships/image" Target="../media/image6.emf"/><Relationship Id="rId4" Type="http://schemas.openxmlformats.org/officeDocument/2006/relationships/image" Target="../media/image5.emf"/></Relationships>
</file>

<file path=xl/drawings/_rels/drawing28.xml.rels><?xml version="1.0" encoding="UTF-8" standalone="yes"?>
<Relationships xmlns="http://schemas.openxmlformats.org/package/2006/relationships"><Relationship Id="rId8" Type="http://schemas.openxmlformats.org/officeDocument/2006/relationships/chart" Target="../charts/chart32.xml"/><Relationship Id="rId13" Type="http://schemas.openxmlformats.org/officeDocument/2006/relationships/chart" Target="../charts/chart37.xml"/><Relationship Id="rId18" Type="http://schemas.openxmlformats.org/officeDocument/2006/relationships/chart" Target="../charts/chart42.xml"/><Relationship Id="rId26" Type="http://schemas.openxmlformats.org/officeDocument/2006/relationships/chart" Target="../charts/chart50.xml"/><Relationship Id="rId3" Type="http://schemas.openxmlformats.org/officeDocument/2006/relationships/chart" Target="../charts/chart27.xml"/><Relationship Id="rId21" Type="http://schemas.openxmlformats.org/officeDocument/2006/relationships/chart" Target="../charts/chart45.xml"/><Relationship Id="rId7" Type="http://schemas.openxmlformats.org/officeDocument/2006/relationships/chart" Target="../charts/chart31.xml"/><Relationship Id="rId12" Type="http://schemas.openxmlformats.org/officeDocument/2006/relationships/chart" Target="../charts/chart36.xml"/><Relationship Id="rId17" Type="http://schemas.openxmlformats.org/officeDocument/2006/relationships/chart" Target="../charts/chart41.xml"/><Relationship Id="rId25" Type="http://schemas.openxmlformats.org/officeDocument/2006/relationships/chart" Target="../charts/chart49.xml"/><Relationship Id="rId2" Type="http://schemas.openxmlformats.org/officeDocument/2006/relationships/chart" Target="../charts/chart26.xml"/><Relationship Id="rId16" Type="http://schemas.openxmlformats.org/officeDocument/2006/relationships/chart" Target="../charts/chart40.xml"/><Relationship Id="rId20" Type="http://schemas.openxmlformats.org/officeDocument/2006/relationships/chart" Target="../charts/chart44.xml"/><Relationship Id="rId29" Type="http://schemas.openxmlformats.org/officeDocument/2006/relationships/chart" Target="../charts/chart53.xml"/><Relationship Id="rId1" Type="http://schemas.openxmlformats.org/officeDocument/2006/relationships/chart" Target="../charts/chart25.xml"/><Relationship Id="rId6" Type="http://schemas.openxmlformats.org/officeDocument/2006/relationships/chart" Target="../charts/chart30.xml"/><Relationship Id="rId11" Type="http://schemas.openxmlformats.org/officeDocument/2006/relationships/chart" Target="../charts/chart35.xml"/><Relationship Id="rId24" Type="http://schemas.openxmlformats.org/officeDocument/2006/relationships/chart" Target="../charts/chart48.xml"/><Relationship Id="rId5" Type="http://schemas.openxmlformats.org/officeDocument/2006/relationships/chart" Target="../charts/chart29.xml"/><Relationship Id="rId15" Type="http://schemas.openxmlformats.org/officeDocument/2006/relationships/chart" Target="../charts/chart39.xml"/><Relationship Id="rId23" Type="http://schemas.openxmlformats.org/officeDocument/2006/relationships/chart" Target="../charts/chart47.xml"/><Relationship Id="rId28" Type="http://schemas.openxmlformats.org/officeDocument/2006/relationships/chart" Target="../charts/chart52.xml"/><Relationship Id="rId10" Type="http://schemas.openxmlformats.org/officeDocument/2006/relationships/chart" Target="../charts/chart34.xml"/><Relationship Id="rId19" Type="http://schemas.openxmlformats.org/officeDocument/2006/relationships/chart" Target="../charts/chart43.xml"/><Relationship Id="rId4" Type="http://schemas.openxmlformats.org/officeDocument/2006/relationships/chart" Target="../charts/chart28.xml"/><Relationship Id="rId9" Type="http://schemas.openxmlformats.org/officeDocument/2006/relationships/chart" Target="../charts/chart33.xml"/><Relationship Id="rId14" Type="http://schemas.openxmlformats.org/officeDocument/2006/relationships/chart" Target="../charts/chart38.xml"/><Relationship Id="rId22" Type="http://schemas.openxmlformats.org/officeDocument/2006/relationships/chart" Target="../charts/chart46.xml"/><Relationship Id="rId27" Type="http://schemas.openxmlformats.org/officeDocument/2006/relationships/chart" Target="../charts/chart51.xml"/><Relationship Id="rId30" Type="http://schemas.openxmlformats.org/officeDocument/2006/relationships/chart" Target="../charts/chart54.xml"/></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10.emf"/><Relationship Id="rId2" Type="http://schemas.openxmlformats.org/officeDocument/2006/relationships/image" Target="../media/image9.emf"/><Relationship Id="rId6" Type="http://schemas.openxmlformats.org/officeDocument/2006/relationships/image" Target="../media/image13.emf"/><Relationship Id="rId1" Type="http://schemas.openxmlformats.org/officeDocument/2006/relationships/image" Target="../media/image8.emf"/><Relationship Id="rId5" Type="http://schemas.openxmlformats.org/officeDocument/2006/relationships/image" Target="../media/image12.emf"/><Relationship Id="rId4" Type="http://schemas.openxmlformats.org/officeDocument/2006/relationships/image" Target="../media/image11.emf"/></Relationships>
</file>

<file path=xl/drawings/drawing1.xml><?xml version="1.0" encoding="utf-8"?>
<xdr:wsDr xmlns:xdr="http://schemas.openxmlformats.org/drawingml/2006/spreadsheetDrawing" xmlns:a="http://schemas.openxmlformats.org/drawingml/2006/main">
  <xdr:twoCellAnchor editAs="oneCell">
    <xdr:from>
      <xdr:col>11</xdr:col>
      <xdr:colOff>942975</xdr:colOff>
      <xdr:row>2</xdr:row>
      <xdr:rowOff>123825</xdr:rowOff>
    </xdr:from>
    <xdr:to>
      <xdr:col>14</xdr:col>
      <xdr:colOff>381000</xdr:colOff>
      <xdr:row>2</xdr:row>
      <xdr:rowOff>503097</xdr:rowOff>
    </xdr:to>
    <xdr:pic>
      <xdr:nvPicPr>
        <xdr:cNvPr id="6" name="Picture 5">
          <a:extLst>
            <a:ext uri="{FF2B5EF4-FFF2-40B4-BE49-F238E27FC236}">
              <a16:creationId xmlns:a16="http://schemas.microsoft.com/office/drawing/2014/main" id="{725E9157-C3F5-43B8-E2B6-C62A52B9279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8200" y="723900"/>
          <a:ext cx="1504950" cy="379272"/>
        </a:xfrm>
        <a:prstGeom prst="rect">
          <a:avLst/>
        </a:prstGeom>
      </xdr:spPr>
    </xdr:pic>
    <xdr:clientData/>
  </xdr:twoCellAnchor>
</xdr:wsDr>
</file>

<file path=xl/drawings/drawing10.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11.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12.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13.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14.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15.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16.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17.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18.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19.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551382</xdr:colOff>
          <xdr:row>35</xdr:row>
          <xdr:rowOff>76508</xdr:rowOff>
        </xdr:from>
        <xdr:to>
          <xdr:col>8</xdr:col>
          <xdr:colOff>1211034</xdr:colOff>
          <xdr:row>39</xdr:row>
          <xdr:rowOff>200237</xdr:rowOff>
        </xdr:to>
        <xdr:pic>
          <xdr:nvPicPr>
            <xdr:cNvPr id="20" name="Picture 19">
              <a:extLst>
                <a:ext uri="{FF2B5EF4-FFF2-40B4-BE49-F238E27FC236}">
                  <a16:creationId xmlns:a16="http://schemas.microsoft.com/office/drawing/2014/main" id="{02D36384-C1E8-4708-8AE8-6FC3D1E2B3F1}"/>
                </a:ext>
              </a:extLst>
            </xdr:cNvPr>
            <xdr:cNvPicPr>
              <a:picLocks noChangeAspect="1"/>
              <a:extLst>
                <a:ext uri="{84589F7E-364E-4C9E-8A38-B11213B215E9}">
                  <a14:cameraTool cellRange="Gauge3a" spid="_x0000_s9437"/>
                </a:ext>
              </a:extLst>
            </xdr:cNvPicPr>
          </xdr:nvPicPr>
          <xdr:blipFill rotWithShape="1">
            <a:blip xmlns:r="http://schemas.openxmlformats.org/officeDocument/2006/relationships" r:embed="rId1"/>
            <a:srcRect l="25062" t="14647" r="31623" b="48884"/>
            <a:stretch>
              <a:fillRect/>
            </a:stretch>
          </xdr:blipFill>
          <xdr:spPr>
            <a:xfrm>
              <a:off x="6973953" y="8322437"/>
              <a:ext cx="2047581" cy="1103443"/>
            </a:xfrm>
            <a:prstGeom prst="rect">
              <a:avLst/>
            </a:prstGeom>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670828</xdr:colOff>
          <xdr:row>17</xdr:row>
          <xdr:rowOff>54428</xdr:rowOff>
        </xdr:from>
        <xdr:to>
          <xdr:col>8</xdr:col>
          <xdr:colOff>870854</xdr:colOff>
          <xdr:row>21</xdr:row>
          <xdr:rowOff>140996</xdr:rowOff>
        </xdr:to>
        <xdr:pic>
          <xdr:nvPicPr>
            <xdr:cNvPr id="10" name="Picture 9">
              <a:extLst>
                <a:ext uri="{FF2B5EF4-FFF2-40B4-BE49-F238E27FC236}">
                  <a16:creationId xmlns:a16="http://schemas.microsoft.com/office/drawing/2014/main" id="{EC3818FE-3247-468E-873F-1E32BCC1332D}"/>
                </a:ext>
              </a:extLst>
            </xdr:cNvPr>
            <xdr:cNvPicPr>
              <a:picLocks noChangeAspect="1"/>
              <a:extLst>
                <a:ext uri="{84589F7E-364E-4C9E-8A38-B11213B215E9}">
                  <a14:cameraTool cellRange="Gauge1a" spid="_x0000_s9438"/>
                </a:ext>
              </a:extLst>
            </xdr:cNvPicPr>
          </xdr:nvPicPr>
          <xdr:blipFill rotWithShape="1">
            <a:blip xmlns:r="http://schemas.openxmlformats.org/officeDocument/2006/relationships" r:embed="rId2"/>
            <a:srcRect l="27313" t="16061" r="35995" b="49644"/>
            <a:stretch>
              <a:fillRect/>
            </a:stretch>
          </xdr:blipFill>
          <xdr:spPr>
            <a:xfrm>
              <a:off x="7093399" y="3891642"/>
              <a:ext cx="1587955" cy="1066282"/>
            </a:xfrm>
            <a:prstGeom prst="rect">
              <a:avLst/>
            </a:prstGeom>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570966</xdr:colOff>
          <xdr:row>26</xdr:row>
          <xdr:rowOff>146957</xdr:rowOff>
        </xdr:from>
        <xdr:to>
          <xdr:col>10</xdr:col>
          <xdr:colOff>1020534</xdr:colOff>
          <xdr:row>30</xdr:row>
          <xdr:rowOff>170378</xdr:rowOff>
        </xdr:to>
        <xdr:pic>
          <xdr:nvPicPr>
            <xdr:cNvPr id="12" name="Picture 11">
              <a:extLst>
                <a:ext uri="{FF2B5EF4-FFF2-40B4-BE49-F238E27FC236}">
                  <a16:creationId xmlns:a16="http://schemas.microsoft.com/office/drawing/2014/main" id="{A4BE1373-A0C1-452A-8C22-B23889E95D97}"/>
                </a:ext>
              </a:extLst>
            </xdr:cNvPr>
            <xdr:cNvPicPr>
              <a:picLocks noChangeAspect="1"/>
              <a:extLst>
                <a:ext uri="{84589F7E-364E-4C9E-8A38-B11213B215E9}">
                  <a14:cameraTool cellRange="Gauge2b" spid="_x0000_s9439"/>
                </a:ext>
              </a:extLst>
            </xdr:cNvPicPr>
          </xdr:nvPicPr>
          <xdr:blipFill rotWithShape="1">
            <a:blip xmlns:r="http://schemas.openxmlformats.org/officeDocument/2006/relationships" r:embed="rId3"/>
            <a:srcRect l="29044" t="17103" r="27603" b="49502"/>
            <a:stretch>
              <a:fillRect/>
            </a:stretch>
          </xdr:blipFill>
          <xdr:spPr>
            <a:xfrm>
              <a:off x="9878252" y="6188528"/>
              <a:ext cx="1891925" cy="1003135"/>
            </a:xfrm>
            <a:prstGeom prst="rect">
              <a:avLst/>
            </a:prstGeom>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696682</xdr:colOff>
          <xdr:row>26</xdr:row>
          <xdr:rowOff>146957</xdr:rowOff>
        </xdr:from>
        <xdr:to>
          <xdr:col>8</xdr:col>
          <xdr:colOff>898070</xdr:colOff>
          <xdr:row>30</xdr:row>
          <xdr:rowOff>146518</xdr:rowOff>
        </xdr:to>
        <xdr:pic>
          <xdr:nvPicPr>
            <xdr:cNvPr id="17" name="Picture 16">
              <a:extLst>
                <a:ext uri="{FF2B5EF4-FFF2-40B4-BE49-F238E27FC236}">
                  <a16:creationId xmlns:a16="http://schemas.microsoft.com/office/drawing/2014/main" id="{294333C6-45F3-4DD8-8327-911FDEB04496}"/>
                </a:ext>
              </a:extLst>
            </xdr:cNvPr>
            <xdr:cNvPicPr>
              <a:picLocks noChangeAspect="1"/>
              <a:extLst>
                <a:ext uri="{84589F7E-364E-4C9E-8A38-B11213B215E9}">
                  <a14:cameraTool cellRange="Gauge2a" spid="_x0000_s9440"/>
                </a:ext>
              </a:extLst>
            </xdr:cNvPicPr>
          </xdr:nvPicPr>
          <xdr:blipFill rotWithShape="1">
            <a:blip xmlns:r="http://schemas.openxmlformats.org/officeDocument/2006/relationships" r:embed="rId4"/>
            <a:srcRect l="24959" t="18428" r="41584" b="48823"/>
            <a:stretch>
              <a:fillRect/>
            </a:stretch>
          </xdr:blipFill>
          <xdr:spPr>
            <a:xfrm>
              <a:off x="7119253" y="6188528"/>
              <a:ext cx="1589317" cy="979275"/>
            </a:xfrm>
            <a:prstGeom prst="rect">
              <a:avLst/>
            </a:prstGeom>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570965</xdr:colOff>
          <xdr:row>17</xdr:row>
          <xdr:rowOff>24576</xdr:rowOff>
        </xdr:from>
        <xdr:to>
          <xdr:col>10</xdr:col>
          <xdr:colOff>1115784</xdr:colOff>
          <xdr:row>21</xdr:row>
          <xdr:rowOff>122465</xdr:rowOff>
        </xdr:to>
        <xdr:pic>
          <xdr:nvPicPr>
            <xdr:cNvPr id="18" name="Picture 17">
              <a:extLst>
                <a:ext uri="{FF2B5EF4-FFF2-40B4-BE49-F238E27FC236}">
                  <a16:creationId xmlns:a16="http://schemas.microsoft.com/office/drawing/2014/main" id="{18751344-2C1A-4B57-91D4-821DD8500340}"/>
                </a:ext>
              </a:extLst>
            </xdr:cNvPr>
            <xdr:cNvPicPr>
              <a:picLocks noChangeAspect="1"/>
              <a:extLst>
                <a:ext uri="{84589F7E-364E-4C9E-8A38-B11213B215E9}">
                  <a14:cameraTool cellRange="Gauge1b" spid="_x0000_s9441"/>
                </a:ext>
              </a:extLst>
            </xdr:cNvPicPr>
          </xdr:nvPicPr>
          <xdr:blipFill rotWithShape="1">
            <a:blip xmlns:r="http://schemas.openxmlformats.org/officeDocument/2006/relationships" r:embed="rId5"/>
            <a:srcRect l="26641" t="16434" r="25561" b="49764"/>
            <a:stretch>
              <a:fillRect/>
            </a:stretch>
          </xdr:blipFill>
          <xdr:spPr>
            <a:xfrm>
              <a:off x="9878251" y="3861790"/>
              <a:ext cx="1987176" cy="1077603"/>
            </a:xfrm>
            <a:prstGeom prst="rect">
              <a:avLst/>
            </a:prstGeom>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557891</xdr:colOff>
          <xdr:row>35</xdr:row>
          <xdr:rowOff>49294</xdr:rowOff>
        </xdr:from>
        <xdr:to>
          <xdr:col>10</xdr:col>
          <xdr:colOff>1008438</xdr:colOff>
          <xdr:row>39</xdr:row>
          <xdr:rowOff>177716</xdr:rowOff>
        </xdr:to>
        <xdr:pic>
          <xdr:nvPicPr>
            <xdr:cNvPr id="21" name="Picture 20">
              <a:extLst>
                <a:ext uri="{FF2B5EF4-FFF2-40B4-BE49-F238E27FC236}">
                  <a16:creationId xmlns:a16="http://schemas.microsoft.com/office/drawing/2014/main" id="{8BFBF632-E25F-4C81-8D10-031FAEB35857}"/>
                </a:ext>
              </a:extLst>
            </xdr:cNvPr>
            <xdr:cNvPicPr>
              <a:picLocks noChangeAspect="1"/>
              <a:extLst>
                <a:ext uri="{84589F7E-364E-4C9E-8A38-B11213B215E9}">
                  <a14:cameraTool cellRange="Gauge3b" spid="_x0000_s9442"/>
                </a:ext>
              </a:extLst>
            </xdr:cNvPicPr>
          </xdr:nvPicPr>
          <xdr:blipFill rotWithShape="1">
            <a:blip xmlns:r="http://schemas.openxmlformats.org/officeDocument/2006/relationships" r:embed="rId6"/>
            <a:srcRect l="26778" t="15312" r="30035" b="47088"/>
            <a:stretch>
              <a:fillRect/>
            </a:stretch>
          </xdr:blipFill>
          <xdr:spPr>
            <a:xfrm>
              <a:off x="9865177" y="8295223"/>
              <a:ext cx="1892904" cy="1108136"/>
            </a:xfrm>
            <a:prstGeom prst="rect">
              <a:avLst/>
            </a:prstGeom>
          </xdr:spPr>
        </xdr:pic>
        <xdr:clientData/>
      </xdr:twoCellAnchor>
    </mc:Choice>
    <mc:Fallback/>
  </mc:AlternateContent>
  <xdr:twoCellAnchor editAs="oneCell">
    <xdr:from>
      <xdr:col>8</xdr:col>
      <xdr:colOff>167367</xdr:colOff>
      <xdr:row>3</xdr:row>
      <xdr:rowOff>137432</xdr:rowOff>
    </xdr:from>
    <xdr:to>
      <xdr:col>10</xdr:col>
      <xdr:colOff>788400</xdr:colOff>
      <xdr:row>5</xdr:row>
      <xdr:rowOff>612321</xdr:rowOff>
    </xdr:to>
    <xdr:pic>
      <xdr:nvPicPr>
        <xdr:cNvPr id="4" name="Picture 3">
          <a:extLst>
            <a:ext uri="{FF2B5EF4-FFF2-40B4-BE49-F238E27FC236}">
              <a16:creationId xmlns:a16="http://schemas.microsoft.com/office/drawing/2014/main" id="{813CA056-4E03-47DD-BC42-087BBDEC2AA8}"/>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9678760" y="749753"/>
          <a:ext cx="3424104" cy="883104"/>
        </a:xfrm>
        <a:prstGeom prst="rect">
          <a:avLst/>
        </a:prstGeom>
      </xdr:spPr>
    </xdr:pic>
    <xdr:clientData/>
  </xdr:twoCellAnchor>
</xdr:wsDr>
</file>

<file path=xl/drawings/drawing20.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21.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22.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23.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24.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25.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26.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27.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28.xml><?xml version="1.0" encoding="utf-8"?>
<xdr:wsDr xmlns:xdr="http://schemas.openxmlformats.org/drawingml/2006/spreadsheetDrawing" xmlns:a="http://schemas.openxmlformats.org/drawingml/2006/main">
  <xdr:twoCellAnchor>
    <xdr:from>
      <xdr:col>4</xdr:col>
      <xdr:colOff>9526</xdr:colOff>
      <xdr:row>4</xdr:row>
      <xdr:rowOff>14289</xdr:rowOff>
    </xdr:from>
    <xdr:to>
      <xdr:col>4</xdr:col>
      <xdr:colOff>1335406</xdr:colOff>
      <xdr:row>4</xdr:row>
      <xdr:rowOff>928689</xdr:rowOff>
    </xdr:to>
    <xdr:graphicFrame macro="">
      <xdr:nvGraphicFramePr>
        <xdr:cNvPr id="3" name="Chart 2">
          <a:extLst>
            <a:ext uri="{FF2B5EF4-FFF2-40B4-BE49-F238E27FC236}">
              <a16:creationId xmlns:a16="http://schemas.microsoft.com/office/drawing/2014/main" id="{D501F58B-0EB4-4287-AC32-2382217C18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38100</xdr:colOff>
      <xdr:row>4</xdr:row>
      <xdr:rowOff>26194</xdr:rowOff>
    </xdr:from>
    <xdr:to>
      <xdr:col>8</xdr:col>
      <xdr:colOff>1363980</xdr:colOff>
      <xdr:row>4</xdr:row>
      <xdr:rowOff>940594</xdr:rowOff>
    </xdr:to>
    <xdr:graphicFrame macro="">
      <xdr:nvGraphicFramePr>
        <xdr:cNvPr id="6" name="Chart 5">
          <a:extLst>
            <a:ext uri="{FF2B5EF4-FFF2-40B4-BE49-F238E27FC236}">
              <a16:creationId xmlns:a16="http://schemas.microsoft.com/office/drawing/2014/main" id="{D3771DE8-9652-4DF9-9DB5-859B73825C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14287</xdr:colOff>
      <xdr:row>4</xdr:row>
      <xdr:rowOff>26194</xdr:rowOff>
    </xdr:from>
    <xdr:to>
      <xdr:col>13</xdr:col>
      <xdr:colOff>1340167</xdr:colOff>
      <xdr:row>4</xdr:row>
      <xdr:rowOff>940594</xdr:rowOff>
    </xdr:to>
    <xdr:graphicFrame macro="">
      <xdr:nvGraphicFramePr>
        <xdr:cNvPr id="7" name="Chart 6">
          <a:extLst>
            <a:ext uri="{FF2B5EF4-FFF2-40B4-BE49-F238E27FC236}">
              <a16:creationId xmlns:a16="http://schemas.microsoft.com/office/drawing/2014/main" id="{64EEC738-49E6-4024-A4F6-3D9E0FC795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17</xdr:col>
      <xdr:colOff>77628</xdr:colOff>
      <xdr:row>4</xdr:row>
      <xdr:rowOff>14289</xdr:rowOff>
    </xdr:from>
    <xdr:to>
      <xdr:col>17</xdr:col>
      <xdr:colOff>1403508</xdr:colOff>
      <xdr:row>4</xdr:row>
      <xdr:rowOff>928689</xdr:rowOff>
    </xdr:to>
    <xdr:graphicFrame macro="">
      <xdr:nvGraphicFramePr>
        <xdr:cNvPr id="8" name="Chart 7">
          <a:extLst>
            <a:ext uri="{FF2B5EF4-FFF2-40B4-BE49-F238E27FC236}">
              <a16:creationId xmlns:a16="http://schemas.microsoft.com/office/drawing/2014/main" id="{43D11D39-D6D2-47A7-B8E7-7CD36E922F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22</xdr:col>
      <xdr:colOff>71438</xdr:colOff>
      <xdr:row>4</xdr:row>
      <xdr:rowOff>14289</xdr:rowOff>
    </xdr:from>
    <xdr:to>
      <xdr:col>22</xdr:col>
      <xdr:colOff>1397318</xdr:colOff>
      <xdr:row>4</xdr:row>
      <xdr:rowOff>928689</xdr:rowOff>
    </xdr:to>
    <xdr:graphicFrame macro="">
      <xdr:nvGraphicFramePr>
        <xdr:cNvPr id="9" name="Chart 8">
          <a:extLst>
            <a:ext uri="{FF2B5EF4-FFF2-40B4-BE49-F238E27FC236}">
              <a16:creationId xmlns:a16="http://schemas.microsoft.com/office/drawing/2014/main" id="{672A7086-2A6B-403A-A574-B0A289F219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26</xdr:col>
      <xdr:colOff>66674</xdr:colOff>
      <xdr:row>4</xdr:row>
      <xdr:rowOff>30958</xdr:rowOff>
    </xdr:from>
    <xdr:to>
      <xdr:col>26</xdr:col>
      <xdr:colOff>1392554</xdr:colOff>
      <xdr:row>4</xdr:row>
      <xdr:rowOff>945358</xdr:rowOff>
    </xdr:to>
    <xdr:graphicFrame macro="">
      <xdr:nvGraphicFramePr>
        <xdr:cNvPr id="10" name="Chart 9">
          <a:extLst>
            <a:ext uri="{FF2B5EF4-FFF2-40B4-BE49-F238E27FC236}">
              <a16:creationId xmlns:a16="http://schemas.microsoft.com/office/drawing/2014/main" id="{5E67F93D-4902-4DCD-A1D2-906E528128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10479</xdr:colOff>
      <xdr:row>1</xdr:row>
      <xdr:rowOff>28575</xdr:rowOff>
    </xdr:from>
    <xdr:to>
      <xdr:col>4</xdr:col>
      <xdr:colOff>1334454</xdr:colOff>
      <xdr:row>1</xdr:row>
      <xdr:rowOff>942975</xdr:rowOff>
    </xdr:to>
    <xdr:graphicFrame macro="">
      <xdr:nvGraphicFramePr>
        <xdr:cNvPr id="11" name="Chart 10">
          <a:extLst>
            <a:ext uri="{FF2B5EF4-FFF2-40B4-BE49-F238E27FC236}">
              <a16:creationId xmlns:a16="http://schemas.microsoft.com/office/drawing/2014/main" id="{192D56F5-73A0-42BA-AD2D-3370F6B74C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9526</xdr:colOff>
      <xdr:row>3</xdr:row>
      <xdr:rowOff>19051</xdr:rowOff>
    </xdr:from>
    <xdr:to>
      <xdr:col>4</xdr:col>
      <xdr:colOff>1335406</xdr:colOff>
      <xdr:row>3</xdr:row>
      <xdr:rowOff>933451</xdr:rowOff>
    </xdr:to>
    <xdr:graphicFrame macro="">
      <xdr:nvGraphicFramePr>
        <xdr:cNvPr id="12" name="Chart 11">
          <a:extLst>
            <a:ext uri="{FF2B5EF4-FFF2-40B4-BE49-F238E27FC236}">
              <a16:creationId xmlns:a16="http://schemas.microsoft.com/office/drawing/2014/main" id="{8BAA1AD5-4224-44B0-9679-E01495541D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9526</xdr:colOff>
      <xdr:row>2</xdr:row>
      <xdr:rowOff>23813</xdr:rowOff>
    </xdr:from>
    <xdr:to>
      <xdr:col>4</xdr:col>
      <xdr:colOff>1335406</xdr:colOff>
      <xdr:row>2</xdr:row>
      <xdr:rowOff>938213</xdr:rowOff>
    </xdr:to>
    <xdr:graphicFrame macro="">
      <xdr:nvGraphicFramePr>
        <xdr:cNvPr id="13" name="Chart 12">
          <a:extLst>
            <a:ext uri="{FF2B5EF4-FFF2-40B4-BE49-F238E27FC236}">
              <a16:creationId xmlns:a16="http://schemas.microsoft.com/office/drawing/2014/main" id="{1CF38919-2E84-4458-BB4E-9D16E53E2A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9526</xdr:colOff>
      <xdr:row>5</xdr:row>
      <xdr:rowOff>9526</xdr:rowOff>
    </xdr:from>
    <xdr:to>
      <xdr:col>4</xdr:col>
      <xdr:colOff>1335406</xdr:colOff>
      <xdr:row>5</xdr:row>
      <xdr:rowOff>923926</xdr:rowOff>
    </xdr:to>
    <xdr:graphicFrame macro="">
      <xdr:nvGraphicFramePr>
        <xdr:cNvPr id="14" name="Chart 13">
          <a:extLst>
            <a:ext uri="{FF2B5EF4-FFF2-40B4-BE49-F238E27FC236}">
              <a16:creationId xmlns:a16="http://schemas.microsoft.com/office/drawing/2014/main" id="{6224A4FD-0C97-4FF8-921D-0706890BE7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8</xdr:col>
      <xdr:colOff>42863</xdr:colOff>
      <xdr:row>1</xdr:row>
      <xdr:rowOff>19050</xdr:rowOff>
    </xdr:from>
    <xdr:to>
      <xdr:col>8</xdr:col>
      <xdr:colOff>1368743</xdr:colOff>
      <xdr:row>1</xdr:row>
      <xdr:rowOff>933450</xdr:rowOff>
    </xdr:to>
    <xdr:graphicFrame macro="">
      <xdr:nvGraphicFramePr>
        <xdr:cNvPr id="15" name="Chart 14">
          <a:extLst>
            <a:ext uri="{FF2B5EF4-FFF2-40B4-BE49-F238E27FC236}">
              <a16:creationId xmlns:a16="http://schemas.microsoft.com/office/drawing/2014/main" id="{301E2D29-0C14-45BC-AB1D-22715AD383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8</xdr:col>
      <xdr:colOff>47626</xdr:colOff>
      <xdr:row>2</xdr:row>
      <xdr:rowOff>23813</xdr:rowOff>
    </xdr:from>
    <xdr:to>
      <xdr:col>8</xdr:col>
      <xdr:colOff>1373506</xdr:colOff>
      <xdr:row>2</xdr:row>
      <xdr:rowOff>938213</xdr:rowOff>
    </xdr:to>
    <xdr:graphicFrame macro="">
      <xdr:nvGraphicFramePr>
        <xdr:cNvPr id="16" name="Chart 15">
          <a:extLst>
            <a:ext uri="{FF2B5EF4-FFF2-40B4-BE49-F238E27FC236}">
              <a16:creationId xmlns:a16="http://schemas.microsoft.com/office/drawing/2014/main" id="{F400426E-F8EF-47D7-AD78-9E60146690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8</xdr:col>
      <xdr:colOff>28574</xdr:colOff>
      <xdr:row>3</xdr:row>
      <xdr:rowOff>33338</xdr:rowOff>
    </xdr:from>
    <xdr:to>
      <xdr:col>8</xdr:col>
      <xdr:colOff>1354454</xdr:colOff>
      <xdr:row>3</xdr:row>
      <xdr:rowOff>947738</xdr:rowOff>
    </xdr:to>
    <xdr:graphicFrame macro="">
      <xdr:nvGraphicFramePr>
        <xdr:cNvPr id="17" name="Chart 16">
          <a:extLst>
            <a:ext uri="{FF2B5EF4-FFF2-40B4-BE49-F238E27FC236}">
              <a16:creationId xmlns:a16="http://schemas.microsoft.com/office/drawing/2014/main" id="{AD180E61-5723-4ECC-9E83-88F4EED07E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8</xdr:col>
      <xdr:colOff>33337</xdr:colOff>
      <xdr:row>5</xdr:row>
      <xdr:rowOff>19051</xdr:rowOff>
    </xdr:from>
    <xdr:to>
      <xdr:col>8</xdr:col>
      <xdr:colOff>1359217</xdr:colOff>
      <xdr:row>5</xdr:row>
      <xdr:rowOff>933451</xdr:rowOff>
    </xdr:to>
    <xdr:graphicFrame macro="">
      <xdr:nvGraphicFramePr>
        <xdr:cNvPr id="18" name="Chart 17">
          <a:extLst>
            <a:ext uri="{FF2B5EF4-FFF2-40B4-BE49-F238E27FC236}">
              <a16:creationId xmlns:a16="http://schemas.microsoft.com/office/drawing/2014/main" id="{0B77B98E-0B48-42FE-8828-823DB62B40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13</xdr:col>
      <xdr:colOff>14287</xdr:colOff>
      <xdr:row>1</xdr:row>
      <xdr:rowOff>28576</xdr:rowOff>
    </xdr:from>
    <xdr:to>
      <xdr:col>13</xdr:col>
      <xdr:colOff>1340167</xdr:colOff>
      <xdr:row>1</xdr:row>
      <xdr:rowOff>942976</xdr:rowOff>
    </xdr:to>
    <xdr:graphicFrame macro="">
      <xdr:nvGraphicFramePr>
        <xdr:cNvPr id="20" name="Chart 19">
          <a:extLst>
            <a:ext uri="{FF2B5EF4-FFF2-40B4-BE49-F238E27FC236}">
              <a16:creationId xmlns:a16="http://schemas.microsoft.com/office/drawing/2014/main" id="{12087C34-E8CF-4352-9927-F4194CD872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13</xdr:col>
      <xdr:colOff>14287</xdr:colOff>
      <xdr:row>2</xdr:row>
      <xdr:rowOff>23813</xdr:rowOff>
    </xdr:from>
    <xdr:to>
      <xdr:col>13</xdr:col>
      <xdr:colOff>1340167</xdr:colOff>
      <xdr:row>2</xdr:row>
      <xdr:rowOff>938213</xdr:rowOff>
    </xdr:to>
    <xdr:graphicFrame macro="">
      <xdr:nvGraphicFramePr>
        <xdr:cNvPr id="21" name="Chart 20">
          <a:extLst>
            <a:ext uri="{FF2B5EF4-FFF2-40B4-BE49-F238E27FC236}">
              <a16:creationId xmlns:a16="http://schemas.microsoft.com/office/drawing/2014/main" id="{8EB4E229-7835-499B-9404-8BB5E5B895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13</xdr:col>
      <xdr:colOff>14287</xdr:colOff>
      <xdr:row>3</xdr:row>
      <xdr:rowOff>19051</xdr:rowOff>
    </xdr:from>
    <xdr:to>
      <xdr:col>13</xdr:col>
      <xdr:colOff>1340167</xdr:colOff>
      <xdr:row>3</xdr:row>
      <xdr:rowOff>933451</xdr:rowOff>
    </xdr:to>
    <xdr:graphicFrame macro="">
      <xdr:nvGraphicFramePr>
        <xdr:cNvPr id="22" name="Chart 21">
          <a:extLst>
            <a:ext uri="{FF2B5EF4-FFF2-40B4-BE49-F238E27FC236}">
              <a16:creationId xmlns:a16="http://schemas.microsoft.com/office/drawing/2014/main" id="{CB63CF31-B5A7-470A-9907-23E0528063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13</xdr:col>
      <xdr:colOff>14287</xdr:colOff>
      <xdr:row>5</xdr:row>
      <xdr:rowOff>19051</xdr:rowOff>
    </xdr:from>
    <xdr:to>
      <xdr:col>13</xdr:col>
      <xdr:colOff>1340167</xdr:colOff>
      <xdr:row>5</xdr:row>
      <xdr:rowOff>933451</xdr:rowOff>
    </xdr:to>
    <xdr:graphicFrame macro="">
      <xdr:nvGraphicFramePr>
        <xdr:cNvPr id="23" name="Chart 22">
          <a:extLst>
            <a:ext uri="{FF2B5EF4-FFF2-40B4-BE49-F238E27FC236}">
              <a16:creationId xmlns:a16="http://schemas.microsoft.com/office/drawing/2014/main" id="{97F35D8D-1B56-45F6-874A-B8855529B3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17</xdr:col>
      <xdr:colOff>77628</xdr:colOff>
      <xdr:row>1</xdr:row>
      <xdr:rowOff>19050</xdr:rowOff>
    </xdr:from>
    <xdr:to>
      <xdr:col>17</xdr:col>
      <xdr:colOff>1403508</xdr:colOff>
      <xdr:row>1</xdr:row>
      <xdr:rowOff>933450</xdr:rowOff>
    </xdr:to>
    <xdr:graphicFrame macro="">
      <xdr:nvGraphicFramePr>
        <xdr:cNvPr id="24" name="Chart 23">
          <a:extLst>
            <a:ext uri="{FF2B5EF4-FFF2-40B4-BE49-F238E27FC236}">
              <a16:creationId xmlns:a16="http://schemas.microsoft.com/office/drawing/2014/main" id="{0E7B3258-9649-4BE4-A590-917E406CC7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17</xdr:col>
      <xdr:colOff>77628</xdr:colOff>
      <xdr:row>2</xdr:row>
      <xdr:rowOff>23813</xdr:rowOff>
    </xdr:from>
    <xdr:to>
      <xdr:col>17</xdr:col>
      <xdr:colOff>1403508</xdr:colOff>
      <xdr:row>2</xdr:row>
      <xdr:rowOff>938213</xdr:rowOff>
    </xdr:to>
    <xdr:graphicFrame macro="">
      <xdr:nvGraphicFramePr>
        <xdr:cNvPr id="25" name="Chart 24">
          <a:extLst>
            <a:ext uri="{FF2B5EF4-FFF2-40B4-BE49-F238E27FC236}">
              <a16:creationId xmlns:a16="http://schemas.microsoft.com/office/drawing/2014/main" id="{F9E8B511-7A06-412D-BC9E-D24DBED5C3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17</xdr:col>
      <xdr:colOff>77628</xdr:colOff>
      <xdr:row>3</xdr:row>
      <xdr:rowOff>19051</xdr:rowOff>
    </xdr:from>
    <xdr:to>
      <xdr:col>17</xdr:col>
      <xdr:colOff>1403508</xdr:colOff>
      <xdr:row>3</xdr:row>
      <xdr:rowOff>933451</xdr:rowOff>
    </xdr:to>
    <xdr:graphicFrame macro="">
      <xdr:nvGraphicFramePr>
        <xdr:cNvPr id="26" name="Chart 25">
          <a:extLst>
            <a:ext uri="{FF2B5EF4-FFF2-40B4-BE49-F238E27FC236}">
              <a16:creationId xmlns:a16="http://schemas.microsoft.com/office/drawing/2014/main" id="{93DAD475-E178-475C-86BF-3303BC2BD2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17</xdr:col>
      <xdr:colOff>77628</xdr:colOff>
      <xdr:row>5</xdr:row>
      <xdr:rowOff>19051</xdr:rowOff>
    </xdr:from>
    <xdr:to>
      <xdr:col>17</xdr:col>
      <xdr:colOff>1403508</xdr:colOff>
      <xdr:row>5</xdr:row>
      <xdr:rowOff>933451</xdr:rowOff>
    </xdr:to>
    <xdr:graphicFrame macro="">
      <xdr:nvGraphicFramePr>
        <xdr:cNvPr id="27" name="Chart 26">
          <a:extLst>
            <a:ext uri="{FF2B5EF4-FFF2-40B4-BE49-F238E27FC236}">
              <a16:creationId xmlns:a16="http://schemas.microsoft.com/office/drawing/2014/main" id="{AA5E540A-BDE5-4B48-AE34-5998A55CA8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22</xdr:col>
      <xdr:colOff>71438</xdr:colOff>
      <xdr:row>1</xdr:row>
      <xdr:rowOff>19050</xdr:rowOff>
    </xdr:from>
    <xdr:to>
      <xdr:col>22</xdr:col>
      <xdr:colOff>1397318</xdr:colOff>
      <xdr:row>1</xdr:row>
      <xdr:rowOff>933450</xdr:rowOff>
    </xdr:to>
    <xdr:graphicFrame macro="">
      <xdr:nvGraphicFramePr>
        <xdr:cNvPr id="28" name="Chart 27">
          <a:extLst>
            <a:ext uri="{FF2B5EF4-FFF2-40B4-BE49-F238E27FC236}">
              <a16:creationId xmlns:a16="http://schemas.microsoft.com/office/drawing/2014/main" id="{1FB1E937-763C-4BC3-90AE-6FB556451A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22</xdr:col>
      <xdr:colOff>71438</xdr:colOff>
      <xdr:row>2</xdr:row>
      <xdr:rowOff>23813</xdr:rowOff>
    </xdr:from>
    <xdr:to>
      <xdr:col>22</xdr:col>
      <xdr:colOff>1397318</xdr:colOff>
      <xdr:row>2</xdr:row>
      <xdr:rowOff>938213</xdr:rowOff>
    </xdr:to>
    <xdr:graphicFrame macro="">
      <xdr:nvGraphicFramePr>
        <xdr:cNvPr id="29" name="Chart 28">
          <a:extLst>
            <a:ext uri="{FF2B5EF4-FFF2-40B4-BE49-F238E27FC236}">
              <a16:creationId xmlns:a16="http://schemas.microsoft.com/office/drawing/2014/main" id="{33785A93-E978-4604-AD0E-2F98D0E3CC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22</xdr:col>
      <xdr:colOff>71438</xdr:colOff>
      <xdr:row>3</xdr:row>
      <xdr:rowOff>33338</xdr:rowOff>
    </xdr:from>
    <xdr:to>
      <xdr:col>22</xdr:col>
      <xdr:colOff>1397318</xdr:colOff>
      <xdr:row>3</xdr:row>
      <xdr:rowOff>947738</xdr:rowOff>
    </xdr:to>
    <xdr:graphicFrame macro="">
      <xdr:nvGraphicFramePr>
        <xdr:cNvPr id="30" name="Chart 29">
          <a:extLst>
            <a:ext uri="{FF2B5EF4-FFF2-40B4-BE49-F238E27FC236}">
              <a16:creationId xmlns:a16="http://schemas.microsoft.com/office/drawing/2014/main" id="{E2FAC26B-9344-4EBD-B4DF-9FB4E0A046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22</xdr:col>
      <xdr:colOff>71438</xdr:colOff>
      <xdr:row>5</xdr:row>
      <xdr:rowOff>19051</xdr:rowOff>
    </xdr:from>
    <xdr:to>
      <xdr:col>22</xdr:col>
      <xdr:colOff>1397318</xdr:colOff>
      <xdr:row>5</xdr:row>
      <xdr:rowOff>933451</xdr:rowOff>
    </xdr:to>
    <xdr:graphicFrame macro="">
      <xdr:nvGraphicFramePr>
        <xdr:cNvPr id="31" name="Chart 30">
          <a:extLst>
            <a:ext uri="{FF2B5EF4-FFF2-40B4-BE49-F238E27FC236}">
              <a16:creationId xmlns:a16="http://schemas.microsoft.com/office/drawing/2014/main" id="{902DF49F-331E-487E-9CF1-3EE178784C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26</xdr:col>
      <xdr:colOff>66674</xdr:colOff>
      <xdr:row>1</xdr:row>
      <xdr:rowOff>19050</xdr:rowOff>
    </xdr:from>
    <xdr:to>
      <xdr:col>26</xdr:col>
      <xdr:colOff>1392554</xdr:colOff>
      <xdr:row>1</xdr:row>
      <xdr:rowOff>933450</xdr:rowOff>
    </xdr:to>
    <xdr:graphicFrame macro="">
      <xdr:nvGraphicFramePr>
        <xdr:cNvPr id="32" name="Chart 31">
          <a:extLst>
            <a:ext uri="{FF2B5EF4-FFF2-40B4-BE49-F238E27FC236}">
              <a16:creationId xmlns:a16="http://schemas.microsoft.com/office/drawing/2014/main" id="{300ABCA2-4652-48A9-B40E-855DC81F2D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26</xdr:col>
      <xdr:colOff>66674</xdr:colOff>
      <xdr:row>2</xdr:row>
      <xdr:rowOff>28575</xdr:rowOff>
    </xdr:from>
    <xdr:to>
      <xdr:col>26</xdr:col>
      <xdr:colOff>1392554</xdr:colOff>
      <xdr:row>2</xdr:row>
      <xdr:rowOff>942975</xdr:rowOff>
    </xdr:to>
    <xdr:graphicFrame macro="">
      <xdr:nvGraphicFramePr>
        <xdr:cNvPr id="33" name="Chart 32">
          <a:extLst>
            <a:ext uri="{FF2B5EF4-FFF2-40B4-BE49-F238E27FC236}">
              <a16:creationId xmlns:a16="http://schemas.microsoft.com/office/drawing/2014/main" id="{07DBF792-4E4E-4ED3-9663-9699C78ED1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26</xdr:col>
      <xdr:colOff>66674</xdr:colOff>
      <xdr:row>3</xdr:row>
      <xdr:rowOff>19051</xdr:rowOff>
    </xdr:from>
    <xdr:to>
      <xdr:col>26</xdr:col>
      <xdr:colOff>1392554</xdr:colOff>
      <xdr:row>3</xdr:row>
      <xdr:rowOff>933451</xdr:rowOff>
    </xdr:to>
    <xdr:graphicFrame macro="">
      <xdr:nvGraphicFramePr>
        <xdr:cNvPr id="34" name="Chart 33">
          <a:extLst>
            <a:ext uri="{FF2B5EF4-FFF2-40B4-BE49-F238E27FC236}">
              <a16:creationId xmlns:a16="http://schemas.microsoft.com/office/drawing/2014/main" id="{ABE867C7-D9C2-4B0C-A92C-3AE516A731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26</xdr:col>
      <xdr:colOff>66674</xdr:colOff>
      <xdr:row>5</xdr:row>
      <xdr:rowOff>19051</xdr:rowOff>
    </xdr:from>
    <xdr:to>
      <xdr:col>26</xdr:col>
      <xdr:colOff>1392554</xdr:colOff>
      <xdr:row>5</xdr:row>
      <xdr:rowOff>933451</xdr:rowOff>
    </xdr:to>
    <xdr:graphicFrame macro="">
      <xdr:nvGraphicFramePr>
        <xdr:cNvPr id="35" name="Chart 34">
          <a:extLst>
            <a:ext uri="{FF2B5EF4-FFF2-40B4-BE49-F238E27FC236}">
              <a16:creationId xmlns:a16="http://schemas.microsoft.com/office/drawing/2014/main" id="{F8B43B5B-5EA4-4108-A885-DEED4875BE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wsDr>
</file>

<file path=xl/drawings/drawing29.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3.xml><?xml version="1.0" encoding="utf-8"?>
<xdr:wsDr xmlns:xdr="http://schemas.openxmlformats.org/drawingml/2006/spreadsheetDrawing" xmlns:a="http://schemas.openxmlformats.org/drawingml/2006/main">
  <xdr:twoCellAnchor>
    <xdr:from>
      <xdr:col>4</xdr:col>
      <xdr:colOff>28575</xdr:colOff>
      <xdr:row>6</xdr:row>
      <xdr:rowOff>23812</xdr:rowOff>
    </xdr:from>
    <xdr:to>
      <xdr:col>7</xdr:col>
      <xdr:colOff>257175</xdr:colOff>
      <xdr:row>13</xdr:row>
      <xdr:rowOff>152400</xdr:rowOff>
    </xdr:to>
    <xdr:graphicFrame macro="">
      <xdr:nvGraphicFramePr>
        <xdr:cNvPr id="2" name="Chart 1">
          <a:extLst>
            <a:ext uri="{FF2B5EF4-FFF2-40B4-BE49-F238E27FC236}">
              <a16:creationId xmlns:a16="http://schemas.microsoft.com/office/drawing/2014/main" id="{27C070EC-574D-4EBC-BAF5-4677E7EC7CB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16</xdr:row>
      <xdr:rowOff>0</xdr:rowOff>
    </xdr:from>
    <xdr:to>
      <xdr:col>7</xdr:col>
      <xdr:colOff>228600</xdr:colOff>
      <xdr:row>23</xdr:row>
      <xdr:rowOff>128588</xdr:rowOff>
    </xdr:to>
    <xdr:graphicFrame macro="">
      <xdr:nvGraphicFramePr>
        <xdr:cNvPr id="4" name="Chart 3">
          <a:extLst>
            <a:ext uri="{FF2B5EF4-FFF2-40B4-BE49-F238E27FC236}">
              <a16:creationId xmlns:a16="http://schemas.microsoft.com/office/drawing/2014/main" id="{1D1CD975-BB0A-42B3-BCB6-670D6098BD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0</xdr:colOff>
      <xdr:row>26</xdr:row>
      <xdr:rowOff>0</xdr:rowOff>
    </xdr:from>
    <xdr:to>
      <xdr:col>7</xdr:col>
      <xdr:colOff>228600</xdr:colOff>
      <xdr:row>33</xdr:row>
      <xdr:rowOff>128588</xdr:rowOff>
    </xdr:to>
    <xdr:graphicFrame macro="">
      <xdr:nvGraphicFramePr>
        <xdr:cNvPr id="5" name="Chart 4">
          <a:extLst>
            <a:ext uri="{FF2B5EF4-FFF2-40B4-BE49-F238E27FC236}">
              <a16:creationId xmlns:a16="http://schemas.microsoft.com/office/drawing/2014/main" id="{C9C5E66E-945A-4144-AEC3-D743259073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36</xdr:row>
      <xdr:rowOff>0</xdr:rowOff>
    </xdr:from>
    <xdr:to>
      <xdr:col>7</xdr:col>
      <xdr:colOff>228600</xdr:colOff>
      <xdr:row>43</xdr:row>
      <xdr:rowOff>128588</xdr:rowOff>
    </xdr:to>
    <xdr:graphicFrame macro="">
      <xdr:nvGraphicFramePr>
        <xdr:cNvPr id="6" name="Chart 5">
          <a:extLst>
            <a:ext uri="{FF2B5EF4-FFF2-40B4-BE49-F238E27FC236}">
              <a16:creationId xmlns:a16="http://schemas.microsoft.com/office/drawing/2014/main" id="{11D68A1D-D900-40A5-90A9-27ADB43DAD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45</xdr:row>
      <xdr:rowOff>0</xdr:rowOff>
    </xdr:from>
    <xdr:to>
      <xdr:col>7</xdr:col>
      <xdr:colOff>228600</xdr:colOff>
      <xdr:row>52</xdr:row>
      <xdr:rowOff>128588</xdr:rowOff>
    </xdr:to>
    <xdr:graphicFrame macro="">
      <xdr:nvGraphicFramePr>
        <xdr:cNvPr id="7" name="Chart 6">
          <a:extLst>
            <a:ext uri="{FF2B5EF4-FFF2-40B4-BE49-F238E27FC236}">
              <a16:creationId xmlns:a16="http://schemas.microsoft.com/office/drawing/2014/main" id="{9D7B75D2-FFD1-4F09-8DC8-9FA06D64A1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55</xdr:row>
      <xdr:rowOff>0</xdr:rowOff>
    </xdr:from>
    <xdr:to>
      <xdr:col>7</xdr:col>
      <xdr:colOff>228600</xdr:colOff>
      <xdr:row>62</xdr:row>
      <xdr:rowOff>128588</xdr:rowOff>
    </xdr:to>
    <xdr:graphicFrame macro="">
      <xdr:nvGraphicFramePr>
        <xdr:cNvPr id="8" name="Chart 7">
          <a:extLst>
            <a:ext uri="{FF2B5EF4-FFF2-40B4-BE49-F238E27FC236}">
              <a16:creationId xmlns:a16="http://schemas.microsoft.com/office/drawing/2014/main" id="{667F55C1-8862-48E2-9204-5C66185891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12</xdr:col>
      <xdr:colOff>28575</xdr:colOff>
      <xdr:row>6</xdr:row>
      <xdr:rowOff>23812</xdr:rowOff>
    </xdr:from>
    <xdr:to>
      <xdr:col>15</xdr:col>
      <xdr:colOff>257175</xdr:colOff>
      <xdr:row>13</xdr:row>
      <xdr:rowOff>152400</xdr:rowOff>
    </xdr:to>
    <xdr:graphicFrame macro="">
      <xdr:nvGraphicFramePr>
        <xdr:cNvPr id="9" name="Chart 8">
          <a:extLst>
            <a:ext uri="{FF2B5EF4-FFF2-40B4-BE49-F238E27FC236}">
              <a16:creationId xmlns:a16="http://schemas.microsoft.com/office/drawing/2014/main" id="{A547FC85-44F0-455D-A03B-BD99572874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12</xdr:col>
      <xdr:colOff>0</xdr:colOff>
      <xdr:row>16</xdr:row>
      <xdr:rowOff>0</xdr:rowOff>
    </xdr:from>
    <xdr:to>
      <xdr:col>15</xdr:col>
      <xdr:colOff>228600</xdr:colOff>
      <xdr:row>23</xdr:row>
      <xdr:rowOff>128588</xdr:rowOff>
    </xdr:to>
    <xdr:graphicFrame macro="">
      <xdr:nvGraphicFramePr>
        <xdr:cNvPr id="10" name="Chart 9">
          <a:extLst>
            <a:ext uri="{FF2B5EF4-FFF2-40B4-BE49-F238E27FC236}">
              <a16:creationId xmlns:a16="http://schemas.microsoft.com/office/drawing/2014/main" id="{97CD10B7-37BA-465F-862F-7AFE9B6EA4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12</xdr:col>
      <xdr:colOff>0</xdr:colOff>
      <xdr:row>26</xdr:row>
      <xdr:rowOff>0</xdr:rowOff>
    </xdr:from>
    <xdr:to>
      <xdr:col>15</xdr:col>
      <xdr:colOff>228600</xdr:colOff>
      <xdr:row>33</xdr:row>
      <xdr:rowOff>128588</xdr:rowOff>
    </xdr:to>
    <xdr:graphicFrame macro="">
      <xdr:nvGraphicFramePr>
        <xdr:cNvPr id="11" name="Chart 10">
          <a:extLst>
            <a:ext uri="{FF2B5EF4-FFF2-40B4-BE49-F238E27FC236}">
              <a16:creationId xmlns:a16="http://schemas.microsoft.com/office/drawing/2014/main" id="{6EDFE084-CE9F-4E06-B372-977DA99B0F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12</xdr:col>
      <xdr:colOff>0</xdr:colOff>
      <xdr:row>36</xdr:row>
      <xdr:rowOff>0</xdr:rowOff>
    </xdr:from>
    <xdr:to>
      <xdr:col>15</xdr:col>
      <xdr:colOff>228600</xdr:colOff>
      <xdr:row>43</xdr:row>
      <xdr:rowOff>128588</xdr:rowOff>
    </xdr:to>
    <xdr:graphicFrame macro="">
      <xdr:nvGraphicFramePr>
        <xdr:cNvPr id="12" name="Chart 11">
          <a:extLst>
            <a:ext uri="{FF2B5EF4-FFF2-40B4-BE49-F238E27FC236}">
              <a16:creationId xmlns:a16="http://schemas.microsoft.com/office/drawing/2014/main" id="{146C9187-0303-4B3D-BF07-B2CE18C7D2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12</xdr:col>
      <xdr:colOff>0</xdr:colOff>
      <xdr:row>45</xdr:row>
      <xdr:rowOff>0</xdr:rowOff>
    </xdr:from>
    <xdr:to>
      <xdr:col>15</xdr:col>
      <xdr:colOff>228600</xdr:colOff>
      <xdr:row>52</xdr:row>
      <xdr:rowOff>128588</xdr:rowOff>
    </xdr:to>
    <xdr:graphicFrame macro="">
      <xdr:nvGraphicFramePr>
        <xdr:cNvPr id="13" name="Chart 12">
          <a:extLst>
            <a:ext uri="{FF2B5EF4-FFF2-40B4-BE49-F238E27FC236}">
              <a16:creationId xmlns:a16="http://schemas.microsoft.com/office/drawing/2014/main" id="{2A162885-0C28-4EC0-A2AD-3069D08530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12</xdr:col>
      <xdr:colOff>0</xdr:colOff>
      <xdr:row>55</xdr:row>
      <xdr:rowOff>0</xdr:rowOff>
    </xdr:from>
    <xdr:to>
      <xdr:col>15</xdr:col>
      <xdr:colOff>228600</xdr:colOff>
      <xdr:row>62</xdr:row>
      <xdr:rowOff>128588</xdr:rowOff>
    </xdr:to>
    <xdr:graphicFrame macro="">
      <xdr:nvGraphicFramePr>
        <xdr:cNvPr id="14" name="Chart 13">
          <a:extLst>
            <a:ext uri="{FF2B5EF4-FFF2-40B4-BE49-F238E27FC236}">
              <a16:creationId xmlns:a16="http://schemas.microsoft.com/office/drawing/2014/main" id="{A389B3FE-ACFB-4E07-B6E3-2F3ADAFA13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20</xdr:col>
      <xdr:colOff>28575</xdr:colOff>
      <xdr:row>6</xdr:row>
      <xdr:rowOff>23812</xdr:rowOff>
    </xdr:from>
    <xdr:to>
      <xdr:col>23</xdr:col>
      <xdr:colOff>257175</xdr:colOff>
      <xdr:row>13</xdr:row>
      <xdr:rowOff>152400</xdr:rowOff>
    </xdr:to>
    <xdr:graphicFrame macro="">
      <xdr:nvGraphicFramePr>
        <xdr:cNvPr id="15" name="Chart 14">
          <a:extLst>
            <a:ext uri="{FF2B5EF4-FFF2-40B4-BE49-F238E27FC236}">
              <a16:creationId xmlns:a16="http://schemas.microsoft.com/office/drawing/2014/main" id="{81552091-80AF-4511-872E-C5A009106B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20</xdr:col>
      <xdr:colOff>0</xdr:colOff>
      <xdr:row>16</xdr:row>
      <xdr:rowOff>0</xdr:rowOff>
    </xdr:from>
    <xdr:to>
      <xdr:col>23</xdr:col>
      <xdr:colOff>228600</xdr:colOff>
      <xdr:row>23</xdr:row>
      <xdr:rowOff>128588</xdr:rowOff>
    </xdr:to>
    <xdr:graphicFrame macro="">
      <xdr:nvGraphicFramePr>
        <xdr:cNvPr id="16" name="Chart 15">
          <a:extLst>
            <a:ext uri="{FF2B5EF4-FFF2-40B4-BE49-F238E27FC236}">
              <a16:creationId xmlns:a16="http://schemas.microsoft.com/office/drawing/2014/main" id="{1A408A37-F83C-4DC4-91BA-B5E3CADD15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20</xdr:col>
      <xdr:colOff>0</xdr:colOff>
      <xdr:row>26</xdr:row>
      <xdr:rowOff>0</xdr:rowOff>
    </xdr:from>
    <xdr:to>
      <xdr:col>23</xdr:col>
      <xdr:colOff>228600</xdr:colOff>
      <xdr:row>33</xdr:row>
      <xdr:rowOff>128588</xdr:rowOff>
    </xdr:to>
    <xdr:graphicFrame macro="">
      <xdr:nvGraphicFramePr>
        <xdr:cNvPr id="17" name="Chart 16">
          <a:extLst>
            <a:ext uri="{FF2B5EF4-FFF2-40B4-BE49-F238E27FC236}">
              <a16:creationId xmlns:a16="http://schemas.microsoft.com/office/drawing/2014/main" id="{A91E432E-C48C-4409-BA07-8218E0AC47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20</xdr:col>
      <xdr:colOff>0</xdr:colOff>
      <xdr:row>36</xdr:row>
      <xdr:rowOff>0</xdr:rowOff>
    </xdr:from>
    <xdr:to>
      <xdr:col>23</xdr:col>
      <xdr:colOff>228600</xdr:colOff>
      <xdr:row>43</xdr:row>
      <xdr:rowOff>128588</xdr:rowOff>
    </xdr:to>
    <xdr:graphicFrame macro="">
      <xdr:nvGraphicFramePr>
        <xdr:cNvPr id="18" name="Chart 17">
          <a:extLst>
            <a:ext uri="{FF2B5EF4-FFF2-40B4-BE49-F238E27FC236}">
              <a16:creationId xmlns:a16="http://schemas.microsoft.com/office/drawing/2014/main" id="{33370E7E-83D4-4672-A6D0-D0ECF5F2D1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20</xdr:col>
      <xdr:colOff>0</xdr:colOff>
      <xdr:row>45</xdr:row>
      <xdr:rowOff>0</xdr:rowOff>
    </xdr:from>
    <xdr:to>
      <xdr:col>23</xdr:col>
      <xdr:colOff>228600</xdr:colOff>
      <xdr:row>52</xdr:row>
      <xdr:rowOff>128588</xdr:rowOff>
    </xdr:to>
    <xdr:graphicFrame macro="">
      <xdr:nvGraphicFramePr>
        <xdr:cNvPr id="19" name="Chart 18">
          <a:extLst>
            <a:ext uri="{FF2B5EF4-FFF2-40B4-BE49-F238E27FC236}">
              <a16:creationId xmlns:a16="http://schemas.microsoft.com/office/drawing/2014/main" id="{77FC6DD7-CF70-4434-B61B-661C9D7DF5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20</xdr:col>
      <xdr:colOff>0</xdr:colOff>
      <xdr:row>55</xdr:row>
      <xdr:rowOff>0</xdr:rowOff>
    </xdr:from>
    <xdr:to>
      <xdr:col>23</xdr:col>
      <xdr:colOff>228600</xdr:colOff>
      <xdr:row>62</xdr:row>
      <xdr:rowOff>128588</xdr:rowOff>
    </xdr:to>
    <xdr:graphicFrame macro="">
      <xdr:nvGraphicFramePr>
        <xdr:cNvPr id="20" name="Chart 19">
          <a:extLst>
            <a:ext uri="{FF2B5EF4-FFF2-40B4-BE49-F238E27FC236}">
              <a16:creationId xmlns:a16="http://schemas.microsoft.com/office/drawing/2014/main" id="{B879ADD4-1649-4C3F-89A4-030C879A08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28575</xdr:colOff>
      <xdr:row>65</xdr:row>
      <xdr:rowOff>23812</xdr:rowOff>
    </xdr:from>
    <xdr:to>
      <xdr:col>7</xdr:col>
      <xdr:colOff>257175</xdr:colOff>
      <xdr:row>72</xdr:row>
      <xdr:rowOff>152400</xdr:rowOff>
    </xdr:to>
    <xdr:graphicFrame macro="">
      <xdr:nvGraphicFramePr>
        <xdr:cNvPr id="21" name="Chart 20">
          <a:extLst>
            <a:ext uri="{FF2B5EF4-FFF2-40B4-BE49-F238E27FC236}">
              <a16:creationId xmlns:a16="http://schemas.microsoft.com/office/drawing/2014/main" id="{2A0C7881-2FB7-4981-B980-1E6A327205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0</xdr:colOff>
      <xdr:row>75</xdr:row>
      <xdr:rowOff>0</xdr:rowOff>
    </xdr:from>
    <xdr:to>
      <xdr:col>7</xdr:col>
      <xdr:colOff>228600</xdr:colOff>
      <xdr:row>82</xdr:row>
      <xdr:rowOff>128588</xdr:rowOff>
    </xdr:to>
    <xdr:graphicFrame macro="">
      <xdr:nvGraphicFramePr>
        <xdr:cNvPr id="22" name="Chart 21">
          <a:extLst>
            <a:ext uri="{FF2B5EF4-FFF2-40B4-BE49-F238E27FC236}">
              <a16:creationId xmlns:a16="http://schemas.microsoft.com/office/drawing/2014/main" id="{67DA529C-B7D8-40DA-A39A-449C5F81C4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4</xdr:col>
      <xdr:colOff>0</xdr:colOff>
      <xdr:row>85</xdr:row>
      <xdr:rowOff>0</xdr:rowOff>
    </xdr:from>
    <xdr:to>
      <xdr:col>7</xdr:col>
      <xdr:colOff>228600</xdr:colOff>
      <xdr:row>92</xdr:row>
      <xdr:rowOff>128588</xdr:rowOff>
    </xdr:to>
    <xdr:graphicFrame macro="">
      <xdr:nvGraphicFramePr>
        <xdr:cNvPr id="23" name="Chart 22">
          <a:extLst>
            <a:ext uri="{FF2B5EF4-FFF2-40B4-BE49-F238E27FC236}">
              <a16:creationId xmlns:a16="http://schemas.microsoft.com/office/drawing/2014/main" id="{6ED945E5-423A-4219-9ED4-33CA1F00BB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4</xdr:col>
      <xdr:colOff>0</xdr:colOff>
      <xdr:row>95</xdr:row>
      <xdr:rowOff>0</xdr:rowOff>
    </xdr:from>
    <xdr:to>
      <xdr:col>7</xdr:col>
      <xdr:colOff>228600</xdr:colOff>
      <xdr:row>102</xdr:row>
      <xdr:rowOff>128588</xdr:rowOff>
    </xdr:to>
    <xdr:graphicFrame macro="">
      <xdr:nvGraphicFramePr>
        <xdr:cNvPr id="24" name="Chart 23">
          <a:extLst>
            <a:ext uri="{FF2B5EF4-FFF2-40B4-BE49-F238E27FC236}">
              <a16:creationId xmlns:a16="http://schemas.microsoft.com/office/drawing/2014/main" id="{332860E0-6424-4EF5-9F93-FEA7620537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4</xdr:col>
      <xdr:colOff>0</xdr:colOff>
      <xdr:row>104</xdr:row>
      <xdr:rowOff>0</xdr:rowOff>
    </xdr:from>
    <xdr:to>
      <xdr:col>7</xdr:col>
      <xdr:colOff>228600</xdr:colOff>
      <xdr:row>111</xdr:row>
      <xdr:rowOff>128588</xdr:rowOff>
    </xdr:to>
    <xdr:graphicFrame macro="">
      <xdr:nvGraphicFramePr>
        <xdr:cNvPr id="25" name="Chart 24">
          <a:extLst>
            <a:ext uri="{FF2B5EF4-FFF2-40B4-BE49-F238E27FC236}">
              <a16:creationId xmlns:a16="http://schemas.microsoft.com/office/drawing/2014/main" id="{EE043553-5BFC-4851-B2AB-566BDA0D50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xdr:col>
      <xdr:colOff>0</xdr:colOff>
      <xdr:row>114</xdr:row>
      <xdr:rowOff>0</xdr:rowOff>
    </xdr:from>
    <xdr:to>
      <xdr:col>7</xdr:col>
      <xdr:colOff>228600</xdr:colOff>
      <xdr:row>121</xdr:row>
      <xdr:rowOff>128588</xdr:rowOff>
    </xdr:to>
    <xdr:graphicFrame macro="">
      <xdr:nvGraphicFramePr>
        <xdr:cNvPr id="26" name="Chart 25">
          <a:extLst>
            <a:ext uri="{FF2B5EF4-FFF2-40B4-BE49-F238E27FC236}">
              <a16:creationId xmlns:a16="http://schemas.microsoft.com/office/drawing/2014/main" id="{10D5EB0F-8B60-4635-AE2C-FA79F54EDC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wsDr>
</file>

<file path=xl/drawings/drawing30.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31.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32.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33.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34.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35.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36.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37.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38.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39.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4.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a:ln xmlns:a="http://schemas.openxmlformats.org/drawingml/2006/main">
          <a:solidFill>
            <a:schemeClr val="tx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40.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41.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42.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43.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44.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45.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46.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47.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48.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49.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5.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50.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51.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52.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53.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54.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55.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56.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57.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58.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6.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7.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8.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9.xml><?xml version="1.0" encoding="utf-8"?>
<c:userShapes xmlns:c="http://schemas.openxmlformats.org/drawingml/2006/chart">
  <cdr:relSizeAnchor xmlns:cdr="http://schemas.openxmlformats.org/drawingml/2006/chartDrawing">
    <cdr:from>
      <cdr:x>0.47917</cdr:x>
      <cdr:y>0.47743</cdr:y>
    </cdr:from>
    <cdr:to>
      <cdr:x>0.51458</cdr:x>
      <cdr:y>0.52604</cdr:y>
    </cdr:to>
    <cdr:sp macro="" textlink="">
      <cdr:nvSpPr>
        <cdr:cNvPr id="2" name="Oval 1">
          <a:extLst xmlns:a="http://schemas.openxmlformats.org/drawingml/2006/main">
            <a:ext uri="{FF2B5EF4-FFF2-40B4-BE49-F238E27FC236}">
              <a16:creationId xmlns:a16="http://schemas.microsoft.com/office/drawing/2014/main" id="{EF927DE7-BBE2-497E-9378-729050A456FA}"/>
            </a:ext>
          </a:extLst>
        </cdr:cNvPr>
        <cdr:cNvSpPr/>
      </cdr:nvSpPr>
      <cdr:spPr>
        <a:xfrm xmlns:a="http://schemas.openxmlformats.org/drawingml/2006/main">
          <a:off x="2190750" y="1309688"/>
          <a:ext cx="161925" cy="133350"/>
        </a:xfrm>
        <a:prstGeom xmlns:a="http://schemas.openxmlformats.org/drawingml/2006/main" prst="ellipse">
          <a:avLst/>
        </a:prstGeom>
        <a:solidFill xmlns:a="http://schemas.openxmlformats.org/drawingml/2006/main">
          <a:schemeClr val="tx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orthopt.org/content/membership/pt-in-the-community" TargetMode="External"/><Relationship Id="rId2" Type="http://schemas.openxmlformats.org/officeDocument/2006/relationships/hyperlink" Target="https://www.v-o-cal.org/donate" TargetMode="External"/><Relationship Id="rId1" Type="http://schemas.openxmlformats.org/officeDocument/2006/relationships/hyperlink" Target="https://www.thepptg.com/philanthropy/lgost-foundation" TargetMode="External"/><Relationship Id="rId5" Type="http://schemas.openxmlformats.org/officeDocument/2006/relationships/hyperlink" Target="https://youtu.be/EturQ61LT-A" TargetMode="External"/><Relationship Id="rId4" Type="http://schemas.openxmlformats.org/officeDocument/2006/relationships/hyperlink" Target="https://youtu.be/EturQ61LT-A"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hyperlink" Target="https://orthotoolkit.com/hoos/" TargetMode="External"/><Relationship Id="rId13" Type="http://schemas.openxmlformats.org/officeDocument/2006/relationships/hyperlink" Target="https://www.sralab.org/sites/default/files/2017-06/fear_avoidance.pdf" TargetMode="External"/><Relationship Id="rId18" Type="http://schemas.openxmlformats.org/officeDocument/2006/relationships/hyperlink" Target="https://orthotoolkit.com/acl-rsi/" TargetMode="External"/><Relationship Id="rId3" Type="http://schemas.openxmlformats.org/officeDocument/2006/relationships/hyperlink" Target="https://orthotoolkit.com/lefs/" TargetMode="External"/><Relationship Id="rId7" Type="http://schemas.openxmlformats.org/officeDocument/2006/relationships/hyperlink" Target="https://www.orthopaedicscore.com/scorepages/knee_injury_osteopaedic_outcome_score_womac.html" TargetMode="External"/><Relationship Id="rId12" Type="http://schemas.openxmlformats.org/officeDocument/2006/relationships/hyperlink" Target="https://www.orthopaedicscore.com/scorepages/knee_injury_osteopaedic_outcome_score_womac.html" TargetMode="External"/><Relationship Id="rId17" Type="http://schemas.openxmlformats.org/officeDocument/2006/relationships/hyperlink" Target="https://orthotoolkit.com/wosi/" TargetMode="External"/><Relationship Id="rId2" Type="http://schemas.openxmlformats.org/officeDocument/2006/relationships/hyperlink" Target="https://orthotoolkit.com/koos/" TargetMode="External"/><Relationship Id="rId16" Type="http://schemas.openxmlformats.org/officeDocument/2006/relationships/hyperlink" Target="https://www.synergycwc.com/storage/app/media/tampa-scale-11-tsk-11.pdf" TargetMode="External"/><Relationship Id="rId20" Type="http://schemas.openxmlformats.org/officeDocument/2006/relationships/printerSettings" Target="../printerSettings/printerSettings3.bin"/><Relationship Id="rId1" Type="http://schemas.openxmlformats.org/officeDocument/2006/relationships/hyperlink" Target="https://orthotoolkit.com/ikdc/" TargetMode="External"/><Relationship Id="rId6" Type="http://schemas.openxmlformats.org/officeDocument/2006/relationships/hyperlink" Target="https://orthotoolkit.com/quickdash/" TargetMode="External"/><Relationship Id="rId11" Type="http://schemas.openxmlformats.org/officeDocument/2006/relationships/hyperlink" Target="https://orthotoolkit.com/oswestry/" TargetMode="External"/><Relationship Id="rId5" Type="http://schemas.openxmlformats.org/officeDocument/2006/relationships/hyperlink" Target="https://orthotoolkit.com/lefs/" TargetMode="External"/><Relationship Id="rId15" Type="http://schemas.openxmlformats.org/officeDocument/2006/relationships/hyperlink" Target="https://www.synergycwc.com/storage/app/media/tampa-scale-11-tsk-11.pdf" TargetMode="External"/><Relationship Id="rId10" Type="http://schemas.openxmlformats.org/officeDocument/2006/relationships/hyperlink" Target="https://orthotoolkit.com/ndi/" TargetMode="External"/><Relationship Id="rId19" Type="http://schemas.openxmlformats.org/officeDocument/2006/relationships/hyperlink" Target="https://link.springer.com/article/10.1007/s00167-021-06533-8/figures/1" TargetMode="External"/><Relationship Id="rId4" Type="http://schemas.openxmlformats.org/officeDocument/2006/relationships/hyperlink" Target="https://orthotoolkit.com/faam/" TargetMode="External"/><Relationship Id="rId9" Type="http://schemas.openxmlformats.org/officeDocument/2006/relationships/hyperlink" Target="https://orthotoolkit.com/hagos/" TargetMode="External"/><Relationship Id="rId14" Type="http://schemas.openxmlformats.org/officeDocument/2006/relationships/hyperlink" Target="https://www.sralab.org/sites/default/files/2017-06/fear_avoidance.pdf"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026BB-8321-4AEA-BE16-24935480F9A8}">
  <dimension ref="A1:W106"/>
  <sheetViews>
    <sheetView workbookViewId="0">
      <selection activeCell="AB13" sqref="AB13"/>
    </sheetView>
  </sheetViews>
  <sheetFormatPr defaultRowHeight="12.75"/>
  <sheetData>
    <row r="1" spans="1:23">
      <c r="A1" s="257" t="s">
        <v>0</v>
      </c>
      <c r="B1" s="258"/>
      <c r="C1" s="258"/>
      <c r="D1" s="258"/>
      <c r="E1" s="258"/>
      <c r="F1" s="258"/>
      <c r="G1" s="258"/>
      <c r="H1" s="258"/>
      <c r="I1" s="258"/>
      <c r="J1" s="258"/>
      <c r="K1" s="258"/>
      <c r="L1" s="258"/>
      <c r="M1" s="258"/>
      <c r="N1" s="258"/>
      <c r="O1" s="258"/>
      <c r="P1" s="258"/>
      <c r="Q1" s="258"/>
      <c r="R1" s="258"/>
      <c r="S1" s="258"/>
      <c r="T1" s="258"/>
      <c r="U1" s="258"/>
      <c r="V1" s="258"/>
      <c r="W1" s="259"/>
    </row>
    <row r="2" spans="1:23">
      <c r="A2" s="260"/>
      <c r="B2" s="261"/>
      <c r="C2" s="261"/>
      <c r="D2" s="261"/>
      <c r="E2" s="261"/>
      <c r="F2" s="261"/>
      <c r="G2" s="261"/>
      <c r="H2" s="261"/>
      <c r="I2" s="261"/>
      <c r="J2" s="261"/>
      <c r="K2" s="261"/>
      <c r="L2" s="261"/>
      <c r="M2" s="261"/>
      <c r="N2" s="261"/>
      <c r="O2" s="261"/>
      <c r="P2" s="261"/>
      <c r="Q2" s="261"/>
      <c r="R2" s="261"/>
      <c r="S2" s="261"/>
      <c r="T2" s="261"/>
      <c r="U2" s="261"/>
      <c r="V2" s="261"/>
      <c r="W2" s="262"/>
    </row>
    <row r="3" spans="1:23" ht="13.5" thickBot="1">
      <c r="A3" s="263"/>
      <c r="B3" s="264"/>
      <c r="C3" s="264"/>
      <c r="D3" s="264"/>
      <c r="E3" s="264"/>
      <c r="F3" s="264"/>
      <c r="G3" s="264"/>
      <c r="H3" s="264"/>
      <c r="I3" s="264"/>
      <c r="J3" s="264"/>
      <c r="K3" s="264"/>
      <c r="L3" s="264"/>
      <c r="M3" s="264"/>
      <c r="N3" s="264"/>
      <c r="O3" s="264"/>
      <c r="P3" s="264"/>
      <c r="Q3" s="264"/>
      <c r="R3" s="264"/>
      <c r="S3" s="264"/>
      <c r="T3" s="264"/>
      <c r="U3" s="264"/>
      <c r="V3" s="264"/>
      <c r="W3" s="265"/>
    </row>
    <row r="4" spans="1:23">
      <c r="A4" s="266" t="s">
        <v>1</v>
      </c>
      <c r="B4" s="267"/>
      <c r="C4" s="267"/>
      <c r="D4" s="267"/>
      <c r="E4" s="267"/>
      <c r="F4" s="267"/>
      <c r="G4" s="267"/>
      <c r="H4" s="267"/>
      <c r="I4" s="267"/>
      <c r="J4" s="267"/>
      <c r="K4" s="267"/>
      <c r="L4" s="267"/>
      <c r="M4" s="267"/>
      <c r="N4" s="267"/>
      <c r="O4" s="267"/>
      <c r="P4" s="267"/>
      <c r="Q4" s="267"/>
      <c r="R4" s="267"/>
      <c r="S4" s="267"/>
      <c r="T4" s="267"/>
      <c r="U4" s="267"/>
      <c r="V4" s="267"/>
      <c r="W4" s="268"/>
    </row>
    <row r="5" spans="1:23">
      <c r="A5" s="269"/>
      <c r="B5" s="270"/>
      <c r="C5" s="270"/>
      <c r="D5" s="270"/>
      <c r="E5" s="270"/>
      <c r="F5" s="270"/>
      <c r="G5" s="270"/>
      <c r="H5" s="270"/>
      <c r="I5" s="270"/>
      <c r="J5" s="270"/>
      <c r="K5" s="270"/>
      <c r="L5" s="270"/>
      <c r="M5" s="270"/>
      <c r="N5" s="270"/>
      <c r="O5" s="270"/>
      <c r="P5" s="270"/>
      <c r="Q5" s="270"/>
      <c r="R5" s="270"/>
      <c r="S5" s="270"/>
      <c r="T5" s="270"/>
      <c r="U5" s="270"/>
      <c r="V5" s="270"/>
      <c r="W5" s="271"/>
    </row>
    <row r="6" spans="1:23">
      <c r="A6" s="269"/>
      <c r="B6" s="270"/>
      <c r="C6" s="270"/>
      <c r="D6" s="270"/>
      <c r="E6" s="270"/>
      <c r="F6" s="270"/>
      <c r="G6" s="270"/>
      <c r="H6" s="270"/>
      <c r="I6" s="270"/>
      <c r="J6" s="270"/>
      <c r="K6" s="270"/>
      <c r="L6" s="270"/>
      <c r="M6" s="270"/>
      <c r="N6" s="270"/>
      <c r="O6" s="270"/>
      <c r="P6" s="270"/>
      <c r="Q6" s="270"/>
      <c r="R6" s="270"/>
      <c r="S6" s="270"/>
      <c r="T6" s="270"/>
      <c r="U6" s="270"/>
      <c r="V6" s="270"/>
      <c r="W6" s="271"/>
    </row>
    <row r="7" spans="1:23" ht="13.5" thickBot="1">
      <c r="A7" s="272"/>
      <c r="B7" s="273"/>
      <c r="C7" s="273"/>
      <c r="D7" s="273"/>
      <c r="E7" s="273"/>
      <c r="F7" s="273"/>
      <c r="G7" s="273"/>
      <c r="H7" s="273"/>
      <c r="I7" s="273"/>
      <c r="J7" s="273"/>
      <c r="K7" s="273"/>
      <c r="L7" s="273"/>
      <c r="M7" s="273"/>
      <c r="N7" s="273"/>
      <c r="O7" s="273"/>
      <c r="P7" s="273"/>
      <c r="Q7" s="273"/>
      <c r="R7" s="273"/>
      <c r="S7" s="273"/>
      <c r="T7" s="273"/>
      <c r="U7" s="273"/>
      <c r="V7" s="273"/>
      <c r="W7" s="274"/>
    </row>
    <row r="8" spans="1:23">
      <c r="A8" s="306" t="s">
        <v>2</v>
      </c>
      <c r="B8" s="307"/>
      <c r="C8" s="307"/>
      <c r="D8" s="307"/>
      <c r="E8" s="307"/>
      <c r="F8" s="307"/>
      <c r="G8" s="317"/>
      <c r="H8" s="306" t="s">
        <v>3</v>
      </c>
      <c r="I8" s="307"/>
      <c r="J8" s="307"/>
      <c r="K8" s="307"/>
      <c r="L8" s="307"/>
      <c r="M8" s="307"/>
      <c r="N8" s="307"/>
      <c r="O8" s="310" t="s">
        <v>4</v>
      </c>
      <c r="P8" s="311"/>
      <c r="Q8" s="311"/>
      <c r="R8" s="311"/>
      <c r="S8" s="311"/>
      <c r="T8" s="311"/>
      <c r="U8" s="311"/>
      <c r="V8" s="311"/>
      <c r="W8" s="312"/>
    </row>
    <row r="9" spans="1:23">
      <c r="A9" s="306"/>
      <c r="B9" s="307"/>
      <c r="C9" s="307"/>
      <c r="D9" s="307"/>
      <c r="E9" s="307"/>
      <c r="F9" s="307"/>
      <c r="G9" s="317"/>
      <c r="H9" s="306"/>
      <c r="I9" s="307"/>
      <c r="J9" s="307"/>
      <c r="K9" s="307"/>
      <c r="L9" s="307"/>
      <c r="M9" s="307"/>
      <c r="N9" s="307"/>
      <c r="O9" s="313"/>
      <c r="P9" s="307"/>
      <c r="Q9" s="307"/>
      <c r="R9" s="307"/>
      <c r="S9" s="307"/>
      <c r="T9" s="307"/>
      <c r="U9" s="307"/>
      <c r="V9" s="307"/>
      <c r="W9" s="314"/>
    </row>
    <row r="10" spans="1:23" ht="13.5" thickBot="1">
      <c r="A10" s="308"/>
      <c r="B10" s="309"/>
      <c r="C10" s="309"/>
      <c r="D10" s="309"/>
      <c r="E10" s="309"/>
      <c r="F10" s="309"/>
      <c r="G10" s="318"/>
      <c r="H10" s="308"/>
      <c r="I10" s="309"/>
      <c r="J10" s="309"/>
      <c r="K10" s="309"/>
      <c r="L10" s="309"/>
      <c r="M10" s="309"/>
      <c r="N10" s="309"/>
      <c r="O10" s="315"/>
      <c r="P10" s="309"/>
      <c r="Q10" s="309"/>
      <c r="R10" s="309"/>
      <c r="S10" s="309"/>
      <c r="T10" s="309"/>
      <c r="U10" s="309"/>
      <c r="V10" s="309"/>
      <c r="W10" s="316"/>
    </row>
    <row r="11" spans="1:23" ht="12.75" customHeight="1">
      <c r="A11" s="302" t="s">
        <v>5</v>
      </c>
      <c r="B11" s="293"/>
      <c r="C11" s="293"/>
      <c r="D11" s="293"/>
      <c r="E11" s="293"/>
      <c r="F11" s="293"/>
      <c r="G11" s="303"/>
      <c r="H11" s="302" t="s">
        <v>6</v>
      </c>
      <c r="I11" s="293"/>
      <c r="J11" s="293"/>
      <c r="K11" s="293"/>
      <c r="L11" s="293"/>
      <c r="M11" s="293"/>
      <c r="N11" s="293"/>
      <c r="O11" s="292" t="s">
        <v>7</v>
      </c>
      <c r="P11" s="293"/>
      <c r="Q11" s="293"/>
      <c r="R11" s="293"/>
      <c r="S11" s="293"/>
      <c r="T11" s="293"/>
      <c r="U11" s="293"/>
      <c r="V11" s="231"/>
      <c r="W11" s="232"/>
    </row>
    <row r="12" spans="1:23" ht="12.75" customHeight="1">
      <c r="A12" s="304"/>
      <c r="B12" s="295"/>
      <c r="C12" s="295"/>
      <c r="D12" s="295"/>
      <c r="E12" s="295"/>
      <c r="F12" s="295"/>
      <c r="G12" s="305"/>
      <c r="H12" s="304"/>
      <c r="I12" s="295"/>
      <c r="J12" s="295"/>
      <c r="K12" s="295"/>
      <c r="L12" s="295"/>
      <c r="M12" s="295"/>
      <c r="N12" s="295"/>
      <c r="O12" s="294"/>
      <c r="P12" s="295"/>
      <c r="Q12" s="295"/>
      <c r="R12" s="295"/>
      <c r="S12" s="295"/>
      <c r="T12" s="295"/>
      <c r="U12" s="295"/>
      <c r="V12" s="233"/>
      <c r="W12" s="234"/>
    </row>
    <row r="13" spans="1:23" ht="12.75" customHeight="1">
      <c r="A13" s="304"/>
      <c r="B13" s="295"/>
      <c r="C13" s="295"/>
      <c r="D13" s="295"/>
      <c r="E13" s="295"/>
      <c r="F13" s="295"/>
      <c r="G13" s="305"/>
      <c r="H13" s="304"/>
      <c r="I13" s="295"/>
      <c r="J13" s="295"/>
      <c r="K13" s="295"/>
      <c r="L13" s="295"/>
      <c r="M13" s="295"/>
      <c r="N13" s="295"/>
      <c r="O13" s="294"/>
      <c r="P13" s="295"/>
      <c r="Q13" s="295"/>
      <c r="R13" s="295"/>
      <c r="S13" s="295"/>
      <c r="T13" s="295"/>
      <c r="U13" s="295"/>
      <c r="V13" s="233"/>
      <c r="W13" s="234"/>
    </row>
    <row r="14" spans="1:23" ht="12.75" customHeight="1">
      <c r="A14" s="304"/>
      <c r="B14" s="295"/>
      <c r="C14" s="295"/>
      <c r="D14" s="295"/>
      <c r="E14" s="295"/>
      <c r="F14" s="295"/>
      <c r="G14" s="305"/>
      <c r="H14" s="304"/>
      <c r="I14" s="295"/>
      <c r="J14" s="295"/>
      <c r="K14" s="295"/>
      <c r="L14" s="295"/>
      <c r="M14" s="295"/>
      <c r="N14" s="295"/>
      <c r="O14" s="294"/>
      <c r="P14" s="295"/>
      <c r="Q14" s="295"/>
      <c r="R14" s="295"/>
      <c r="S14" s="295"/>
      <c r="T14" s="295"/>
      <c r="U14" s="295"/>
      <c r="V14" s="235"/>
      <c r="W14" s="236"/>
    </row>
    <row r="15" spans="1:23" ht="12.75" customHeight="1">
      <c r="A15" s="304"/>
      <c r="B15" s="295"/>
      <c r="C15" s="295"/>
      <c r="D15" s="295"/>
      <c r="E15" s="295"/>
      <c r="F15" s="295"/>
      <c r="G15" s="305"/>
      <c r="H15" s="304"/>
      <c r="I15" s="295"/>
      <c r="J15" s="295"/>
      <c r="K15" s="295"/>
      <c r="L15" s="295"/>
      <c r="M15" s="295"/>
      <c r="N15" s="295"/>
      <c r="O15" s="294"/>
      <c r="P15" s="295"/>
      <c r="Q15" s="295"/>
      <c r="R15" s="295"/>
      <c r="S15" s="295"/>
      <c r="T15" s="295"/>
      <c r="U15" s="295"/>
      <c r="V15" s="235"/>
      <c r="W15" s="236"/>
    </row>
    <row r="16" spans="1:23" ht="12.75" customHeight="1">
      <c r="A16" s="304"/>
      <c r="B16" s="295"/>
      <c r="C16" s="295"/>
      <c r="D16" s="295"/>
      <c r="E16" s="295"/>
      <c r="F16" s="295"/>
      <c r="G16" s="305"/>
      <c r="H16" s="304"/>
      <c r="I16" s="295"/>
      <c r="J16" s="295"/>
      <c r="K16" s="295"/>
      <c r="L16" s="295"/>
      <c r="M16" s="295"/>
      <c r="N16" s="295"/>
      <c r="O16" s="294"/>
      <c r="P16" s="295"/>
      <c r="Q16" s="295"/>
      <c r="R16" s="295"/>
      <c r="S16" s="295"/>
      <c r="T16" s="295"/>
      <c r="U16" s="295"/>
      <c r="V16" s="235"/>
      <c r="W16" s="236"/>
    </row>
    <row r="17" spans="1:23" ht="12.75" customHeight="1">
      <c r="A17" s="304"/>
      <c r="B17" s="295"/>
      <c r="C17" s="295"/>
      <c r="D17" s="295"/>
      <c r="E17" s="295"/>
      <c r="F17" s="295"/>
      <c r="G17" s="305"/>
      <c r="H17" s="304"/>
      <c r="I17" s="295"/>
      <c r="J17" s="295"/>
      <c r="K17" s="295"/>
      <c r="L17" s="295"/>
      <c r="M17" s="295"/>
      <c r="N17" s="295"/>
      <c r="O17" s="294"/>
      <c r="P17" s="295"/>
      <c r="Q17" s="295"/>
      <c r="R17" s="295"/>
      <c r="S17" s="295"/>
      <c r="T17" s="295"/>
      <c r="U17" s="295"/>
      <c r="V17" s="233"/>
      <c r="W17" s="234"/>
    </row>
    <row r="18" spans="1:23" ht="12.75" customHeight="1">
      <c r="A18" s="304"/>
      <c r="B18" s="295"/>
      <c r="C18" s="295"/>
      <c r="D18" s="295"/>
      <c r="E18" s="295"/>
      <c r="F18" s="295"/>
      <c r="G18" s="305"/>
      <c r="H18" s="304"/>
      <c r="I18" s="295"/>
      <c r="J18" s="295"/>
      <c r="K18" s="295"/>
      <c r="L18" s="295"/>
      <c r="M18" s="295"/>
      <c r="N18" s="295"/>
      <c r="O18" s="294"/>
      <c r="P18" s="295"/>
      <c r="Q18" s="295"/>
      <c r="R18" s="295"/>
      <c r="S18" s="295"/>
      <c r="T18" s="295"/>
      <c r="U18" s="295"/>
      <c r="V18" s="296" t="s">
        <v>8</v>
      </c>
      <c r="W18" s="297"/>
    </row>
    <row r="19" spans="1:23" ht="12.75" customHeight="1">
      <c r="A19" s="304"/>
      <c r="B19" s="295"/>
      <c r="C19" s="295"/>
      <c r="D19" s="295"/>
      <c r="E19" s="295"/>
      <c r="F19" s="295"/>
      <c r="G19" s="305"/>
      <c r="H19" s="304"/>
      <c r="I19" s="295"/>
      <c r="J19" s="295"/>
      <c r="K19" s="295"/>
      <c r="L19" s="295"/>
      <c r="M19" s="295"/>
      <c r="N19" s="295"/>
      <c r="O19" s="294"/>
      <c r="P19" s="295"/>
      <c r="Q19" s="295"/>
      <c r="R19" s="295"/>
      <c r="S19" s="295"/>
      <c r="T19" s="295"/>
      <c r="U19" s="295"/>
      <c r="V19" s="298"/>
      <c r="W19" s="299"/>
    </row>
    <row r="20" spans="1:23" ht="12.75" customHeight="1">
      <c r="A20" s="304"/>
      <c r="B20" s="295"/>
      <c r="C20" s="295"/>
      <c r="D20" s="295"/>
      <c r="E20" s="295"/>
      <c r="F20" s="295"/>
      <c r="G20" s="305"/>
      <c r="H20" s="304"/>
      <c r="I20" s="295"/>
      <c r="J20" s="295"/>
      <c r="K20" s="295"/>
      <c r="L20" s="295"/>
      <c r="M20" s="295"/>
      <c r="N20" s="295"/>
      <c r="O20" s="294"/>
      <c r="P20" s="295"/>
      <c r="Q20" s="295"/>
      <c r="R20" s="295"/>
      <c r="S20" s="295"/>
      <c r="T20" s="295"/>
      <c r="U20" s="295"/>
      <c r="V20" s="300"/>
      <c r="W20" s="301"/>
    </row>
    <row r="21" spans="1:23" ht="12.75" customHeight="1">
      <c r="A21" s="304"/>
      <c r="B21" s="295"/>
      <c r="C21" s="295"/>
      <c r="D21" s="295"/>
      <c r="E21" s="295"/>
      <c r="F21" s="295"/>
      <c r="G21" s="305"/>
      <c r="H21" s="304"/>
      <c r="I21" s="295"/>
      <c r="J21" s="295"/>
      <c r="K21" s="295"/>
      <c r="L21" s="295"/>
      <c r="M21" s="295"/>
      <c r="N21" s="295"/>
      <c r="O21" s="294"/>
      <c r="P21" s="295"/>
      <c r="Q21" s="295"/>
      <c r="R21" s="295"/>
      <c r="S21" s="295"/>
      <c r="T21" s="295"/>
      <c r="U21" s="295"/>
      <c r="V21" s="275" t="s">
        <v>9</v>
      </c>
      <c r="W21" s="276"/>
    </row>
    <row r="22" spans="1:23" ht="12.75" customHeight="1">
      <c r="A22" s="304"/>
      <c r="B22" s="295"/>
      <c r="C22" s="295"/>
      <c r="D22" s="295"/>
      <c r="E22" s="295"/>
      <c r="F22" s="295"/>
      <c r="G22" s="305"/>
      <c r="H22" s="304"/>
      <c r="I22" s="295"/>
      <c r="J22" s="295"/>
      <c r="K22" s="295"/>
      <c r="L22" s="295"/>
      <c r="M22" s="295"/>
      <c r="N22" s="295"/>
      <c r="O22" s="294"/>
      <c r="P22" s="295"/>
      <c r="Q22" s="295"/>
      <c r="R22" s="295"/>
      <c r="S22" s="295"/>
      <c r="T22" s="295"/>
      <c r="U22" s="295"/>
      <c r="V22" s="277"/>
      <c r="W22" s="271"/>
    </row>
    <row r="23" spans="1:23" ht="12.75" customHeight="1">
      <c r="A23" s="304"/>
      <c r="B23" s="295"/>
      <c r="C23" s="295"/>
      <c r="D23" s="295"/>
      <c r="E23" s="295"/>
      <c r="F23" s="295"/>
      <c r="G23" s="305"/>
      <c r="H23" s="304"/>
      <c r="I23" s="295"/>
      <c r="J23" s="295"/>
      <c r="K23" s="295"/>
      <c r="L23" s="295"/>
      <c r="M23" s="295"/>
      <c r="N23" s="295"/>
      <c r="O23" s="294"/>
      <c r="P23" s="295"/>
      <c r="Q23" s="295"/>
      <c r="R23" s="295"/>
      <c r="S23" s="295"/>
      <c r="T23" s="295"/>
      <c r="U23" s="295"/>
      <c r="V23" s="277"/>
      <c r="W23" s="271"/>
    </row>
    <row r="24" spans="1:23" ht="12.75" customHeight="1">
      <c r="A24" s="304"/>
      <c r="B24" s="295"/>
      <c r="C24" s="295"/>
      <c r="D24" s="295"/>
      <c r="E24" s="295"/>
      <c r="F24" s="295"/>
      <c r="G24" s="305"/>
      <c r="H24" s="304"/>
      <c r="I24" s="295"/>
      <c r="J24" s="295"/>
      <c r="K24" s="295"/>
      <c r="L24" s="295"/>
      <c r="M24" s="295"/>
      <c r="N24" s="295"/>
      <c r="O24" s="294"/>
      <c r="P24" s="295"/>
      <c r="Q24" s="295"/>
      <c r="R24" s="295"/>
      <c r="S24" s="295"/>
      <c r="T24" s="295"/>
      <c r="U24" s="295"/>
      <c r="V24" s="277"/>
      <c r="W24" s="271"/>
    </row>
    <row r="25" spans="1:23" ht="12.75" customHeight="1">
      <c r="A25" s="304"/>
      <c r="B25" s="295"/>
      <c r="C25" s="295"/>
      <c r="D25" s="295"/>
      <c r="E25" s="295"/>
      <c r="F25" s="295"/>
      <c r="G25" s="305"/>
      <c r="H25" s="304"/>
      <c r="I25" s="295"/>
      <c r="J25" s="295"/>
      <c r="K25" s="295"/>
      <c r="L25" s="295"/>
      <c r="M25" s="295"/>
      <c r="N25" s="295"/>
      <c r="O25" s="294"/>
      <c r="P25" s="295"/>
      <c r="Q25" s="295"/>
      <c r="R25" s="295"/>
      <c r="S25" s="295"/>
      <c r="T25" s="295"/>
      <c r="U25" s="295"/>
      <c r="V25" s="278"/>
      <c r="W25" s="279"/>
    </row>
    <row r="26" spans="1:23" ht="12.75" customHeight="1">
      <c r="A26" s="304"/>
      <c r="B26" s="295"/>
      <c r="C26" s="295"/>
      <c r="D26" s="295"/>
      <c r="E26" s="295"/>
      <c r="F26" s="295"/>
      <c r="G26" s="305"/>
      <c r="H26" s="304"/>
      <c r="I26" s="295"/>
      <c r="J26" s="295"/>
      <c r="K26" s="295"/>
      <c r="L26" s="295"/>
      <c r="M26" s="295"/>
      <c r="N26" s="295"/>
      <c r="O26" s="294"/>
      <c r="P26" s="295"/>
      <c r="Q26" s="295"/>
      <c r="R26" s="295"/>
      <c r="S26" s="295"/>
      <c r="T26" s="295"/>
      <c r="U26" s="295"/>
      <c r="V26" s="296" t="s">
        <v>8</v>
      </c>
      <c r="W26" s="297"/>
    </row>
    <row r="27" spans="1:23" ht="12.75" customHeight="1">
      <c r="A27" s="304"/>
      <c r="B27" s="295"/>
      <c r="C27" s="295"/>
      <c r="D27" s="295"/>
      <c r="E27" s="295"/>
      <c r="F27" s="295"/>
      <c r="G27" s="305"/>
      <c r="H27" s="304"/>
      <c r="I27" s="295"/>
      <c r="J27" s="295"/>
      <c r="K27" s="295"/>
      <c r="L27" s="295"/>
      <c r="M27" s="295"/>
      <c r="N27" s="295"/>
      <c r="O27" s="294"/>
      <c r="P27" s="295"/>
      <c r="Q27" s="295"/>
      <c r="R27" s="295"/>
      <c r="S27" s="295"/>
      <c r="T27" s="295"/>
      <c r="U27" s="295"/>
      <c r="V27" s="298"/>
      <c r="W27" s="299"/>
    </row>
    <row r="28" spans="1:23" ht="12.75" customHeight="1">
      <c r="A28" s="304"/>
      <c r="B28" s="295"/>
      <c r="C28" s="295"/>
      <c r="D28" s="295"/>
      <c r="E28" s="295"/>
      <c r="F28" s="295"/>
      <c r="G28" s="305"/>
      <c r="H28" s="304"/>
      <c r="I28" s="295"/>
      <c r="J28" s="295"/>
      <c r="K28" s="295"/>
      <c r="L28" s="295"/>
      <c r="M28" s="295"/>
      <c r="N28" s="295"/>
      <c r="O28" s="294"/>
      <c r="P28" s="295"/>
      <c r="Q28" s="295"/>
      <c r="R28" s="295"/>
      <c r="S28" s="295"/>
      <c r="T28" s="295"/>
      <c r="U28" s="295"/>
      <c r="V28" s="300"/>
      <c r="W28" s="301"/>
    </row>
    <row r="29" spans="1:23" ht="12.75" customHeight="1">
      <c r="A29" s="304"/>
      <c r="B29" s="295"/>
      <c r="C29" s="295"/>
      <c r="D29" s="295"/>
      <c r="E29" s="295"/>
      <c r="F29" s="295"/>
      <c r="G29" s="305"/>
      <c r="H29" s="304"/>
      <c r="I29" s="295"/>
      <c r="J29" s="295"/>
      <c r="K29" s="295"/>
      <c r="L29" s="295"/>
      <c r="M29" s="295"/>
      <c r="N29" s="295"/>
      <c r="O29" s="294"/>
      <c r="P29" s="295"/>
      <c r="Q29" s="295"/>
      <c r="R29" s="295"/>
      <c r="S29" s="295"/>
      <c r="T29" s="295"/>
      <c r="U29" s="295"/>
      <c r="V29" s="275" t="s">
        <v>9</v>
      </c>
      <c r="W29" s="276"/>
    </row>
    <row r="30" spans="1:23" ht="12.75" customHeight="1">
      <c r="A30" s="304"/>
      <c r="B30" s="295"/>
      <c r="C30" s="295"/>
      <c r="D30" s="295"/>
      <c r="E30" s="295"/>
      <c r="F30" s="295"/>
      <c r="G30" s="305"/>
      <c r="H30" s="304"/>
      <c r="I30" s="295"/>
      <c r="J30" s="295"/>
      <c r="K30" s="295"/>
      <c r="L30" s="295"/>
      <c r="M30" s="295"/>
      <c r="N30" s="295"/>
      <c r="O30" s="294"/>
      <c r="P30" s="295"/>
      <c r="Q30" s="295"/>
      <c r="R30" s="295"/>
      <c r="S30" s="295"/>
      <c r="T30" s="295"/>
      <c r="U30" s="295"/>
      <c r="V30" s="277"/>
      <c r="W30" s="271"/>
    </row>
    <row r="31" spans="1:23" ht="12.75" customHeight="1">
      <c r="A31" s="304"/>
      <c r="B31" s="295"/>
      <c r="C31" s="295"/>
      <c r="D31" s="295"/>
      <c r="E31" s="295"/>
      <c r="F31" s="295"/>
      <c r="G31" s="305"/>
      <c r="H31" s="304"/>
      <c r="I31" s="295"/>
      <c r="J31" s="295"/>
      <c r="K31" s="295"/>
      <c r="L31" s="295"/>
      <c r="M31" s="295"/>
      <c r="N31" s="295"/>
      <c r="O31" s="294"/>
      <c r="P31" s="295"/>
      <c r="Q31" s="295"/>
      <c r="R31" s="295"/>
      <c r="S31" s="295"/>
      <c r="T31" s="295"/>
      <c r="U31" s="295"/>
      <c r="V31" s="277"/>
      <c r="W31" s="271"/>
    </row>
    <row r="32" spans="1:23" ht="12.75" customHeight="1">
      <c r="A32" s="304"/>
      <c r="B32" s="295"/>
      <c r="C32" s="295"/>
      <c r="D32" s="295"/>
      <c r="E32" s="295"/>
      <c r="F32" s="295"/>
      <c r="G32" s="305"/>
      <c r="H32" s="304"/>
      <c r="I32" s="295"/>
      <c r="J32" s="295"/>
      <c r="K32" s="295"/>
      <c r="L32" s="295"/>
      <c r="M32" s="295"/>
      <c r="N32" s="295"/>
      <c r="O32" s="294"/>
      <c r="P32" s="295"/>
      <c r="Q32" s="295"/>
      <c r="R32" s="295"/>
      <c r="S32" s="295"/>
      <c r="T32" s="295"/>
      <c r="U32" s="295"/>
      <c r="V32" s="277"/>
      <c r="W32" s="271"/>
    </row>
    <row r="33" spans="1:23" ht="12.75" customHeight="1">
      <c r="A33" s="304"/>
      <c r="B33" s="295"/>
      <c r="C33" s="295"/>
      <c r="D33" s="295"/>
      <c r="E33" s="295"/>
      <c r="F33" s="295"/>
      <c r="G33" s="305"/>
      <c r="H33" s="304"/>
      <c r="I33" s="295"/>
      <c r="J33" s="295"/>
      <c r="K33" s="295"/>
      <c r="L33" s="295"/>
      <c r="M33" s="295"/>
      <c r="N33" s="295"/>
      <c r="O33" s="294"/>
      <c r="P33" s="295"/>
      <c r="Q33" s="295"/>
      <c r="R33" s="295"/>
      <c r="S33" s="295"/>
      <c r="T33" s="295"/>
      <c r="U33" s="295"/>
      <c r="V33" s="278"/>
      <c r="W33" s="279"/>
    </row>
    <row r="34" spans="1:23" ht="12.75" customHeight="1">
      <c r="A34" s="304"/>
      <c r="B34" s="295"/>
      <c r="C34" s="295"/>
      <c r="D34" s="295"/>
      <c r="E34" s="295"/>
      <c r="F34" s="295"/>
      <c r="G34" s="305"/>
      <c r="H34" s="304"/>
      <c r="I34" s="295"/>
      <c r="J34" s="295"/>
      <c r="K34" s="295"/>
      <c r="L34" s="295"/>
      <c r="M34" s="295"/>
      <c r="N34" s="295"/>
      <c r="O34" s="294"/>
      <c r="P34" s="295"/>
      <c r="Q34" s="295"/>
      <c r="R34" s="295"/>
      <c r="S34" s="295"/>
      <c r="T34" s="295"/>
      <c r="U34" s="295"/>
      <c r="V34" s="237"/>
      <c r="W34" s="238"/>
    </row>
    <row r="35" spans="1:23" ht="12.75" customHeight="1">
      <c r="A35" s="304"/>
      <c r="B35" s="295"/>
      <c r="C35" s="295"/>
      <c r="D35" s="295"/>
      <c r="E35" s="295"/>
      <c r="F35" s="295"/>
      <c r="G35" s="305"/>
      <c r="H35" s="304"/>
      <c r="I35" s="295"/>
      <c r="J35" s="295"/>
      <c r="K35" s="295"/>
      <c r="L35" s="295"/>
      <c r="M35" s="295"/>
      <c r="N35" s="295"/>
      <c r="O35" s="294"/>
      <c r="P35" s="295"/>
      <c r="Q35" s="295"/>
      <c r="R35" s="295"/>
      <c r="S35" s="295"/>
      <c r="T35" s="295"/>
      <c r="U35" s="295"/>
      <c r="V35" s="237"/>
      <c r="W35" s="238"/>
    </row>
    <row r="36" spans="1:23" ht="12.75" customHeight="1">
      <c r="A36" s="304"/>
      <c r="B36" s="295"/>
      <c r="C36" s="295"/>
      <c r="D36" s="295"/>
      <c r="E36" s="295"/>
      <c r="F36" s="295"/>
      <c r="G36" s="305"/>
      <c r="H36" s="304"/>
      <c r="I36" s="295"/>
      <c r="J36" s="295"/>
      <c r="K36" s="295"/>
      <c r="L36" s="295"/>
      <c r="M36" s="295"/>
      <c r="N36" s="295"/>
      <c r="O36" s="294"/>
      <c r="P36" s="295"/>
      <c r="Q36" s="295"/>
      <c r="R36" s="295"/>
      <c r="S36" s="295"/>
      <c r="T36" s="295"/>
      <c r="U36" s="295"/>
      <c r="V36" s="296" t="s">
        <v>8</v>
      </c>
      <c r="W36" s="297"/>
    </row>
    <row r="37" spans="1:23" ht="12.75" customHeight="1">
      <c r="A37" s="304"/>
      <c r="B37" s="295"/>
      <c r="C37" s="295"/>
      <c r="D37" s="295"/>
      <c r="E37" s="295"/>
      <c r="F37" s="295"/>
      <c r="G37" s="305"/>
      <c r="H37" s="304"/>
      <c r="I37" s="295"/>
      <c r="J37" s="295"/>
      <c r="K37" s="295"/>
      <c r="L37" s="295"/>
      <c r="M37" s="295"/>
      <c r="N37" s="295"/>
      <c r="O37" s="294"/>
      <c r="P37" s="295"/>
      <c r="Q37" s="295"/>
      <c r="R37" s="295"/>
      <c r="S37" s="295"/>
      <c r="T37" s="295"/>
      <c r="U37" s="295"/>
      <c r="V37" s="298"/>
      <c r="W37" s="299"/>
    </row>
    <row r="38" spans="1:23" ht="12.75" customHeight="1">
      <c r="A38" s="304"/>
      <c r="B38" s="295"/>
      <c r="C38" s="295"/>
      <c r="D38" s="295"/>
      <c r="E38" s="295"/>
      <c r="F38" s="295"/>
      <c r="G38" s="305"/>
      <c r="H38" s="304"/>
      <c r="I38" s="295"/>
      <c r="J38" s="295"/>
      <c r="K38" s="295"/>
      <c r="L38" s="295"/>
      <c r="M38" s="295"/>
      <c r="N38" s="295"/>
      <c r="O38" s="294"/>
      <c r="P38" s="295"/>
      <c r="Q38" s="295"/>
      <c r="R38" s="295"/>
      <c r="S38" s="295"/>
      <c r="T38" s="295"/>
      <c r="U38" s="295"/>
      <c r="V38" s="300"/>
      <c r="W38" s="301"/>
    </row>
    <row r="39" spans="1:23" ht="12.75" customHeight="1">
      <c r="A39" s="304"/>
      <c r="B39" s="295"/>
      <c r="C39" s="295"/>
      <c r="D39" s="295"/>
      <c r="E39" s="295"/>
      <c r="F39" s="295"/>
      <c r="G39" s="305"/>
      <c r="H39" s="304"/>
      <c r="I39" s="295"/>
      <c r="J39" s="295"/>
      <c r="K39" s="295"/>
      <c r="L39" s="295"/>
      <c r="M39" s="295"/>
      <c r="N39" s="295"/>
      <c r="O39" s="294"/>
      <c r="P39" s="295"/>
      <c r="Q39" s="295"/>
      <c r="R39" s="295"/>
      <c r="S39" s="295"/>
      <c r="T39" s="295"/>
      <c r="U39" s="295"/>
      <c r="V39" s="275" t="s">
        <v>9</v>
      </c>
      <c r="W39" s="276"/>
    </row>
    <row r="40" spans="1:23" ht="12.75" customHeight="1">
      <c r="A40" s="304"/>
      <c r="B40" s="295"/>
      <c r="C40" s="295"/>
      <c r="D40" s="295"/>
      <c r="E40" s="295"/>
      <c r="F40" s="295"/>
      <c r="G40" s="305"/>
      <c r="H40" s="304"/>
      <c r="I40" s="295"/>
      <c r="J40" s="295"/>
      <c r="K40" s="295"/>
      <c r="L40" s="295"/>
      <c r="M40" s="295"/>
      <c r="N40" s="295"/>
      <c r="O40" s="294"/>
      <c r="P40" s="295"/>
      <c r="Q40" s="295"/>
      <c r="R40" s="295"/>
      <c r="S40" s="295"/>
      <c r="T40" s="295"/>
      <c r="U40" s="295"/>
      <c r="V40" s="277"/>
      <c r="W40" s="271"/>
    </row>
    <row r="41" spans="1:23" ht="12.75" customHeight="1">
      <c r="A41" s="304"/>
      <c r="B41" s="295"/>
      <c r="C41" s="295"/>
      <c r="D41" s="295"/>
      <c r="E41" s="295"/>
      <c r="F41" s="295"/>
      <c r="G41" s="305"/>
      <c r="H41" s="304"/>
      <c r="I41" s="295"/>
      <c r="J41" s="295"/>
      <c r="K41" s="295"/>
      <c r="L41" s="295"/>
      <c r="M41" s="295"/>
      <c r="N41" s="295"/>
      <c r="O41" s="294"/>
      <c r="P41" s="295"/>
      <c r="Q41" s="295"/>
      <c r="R41" s="295"/>
      <c r="S41" s="295"/>
      <c r="T41" s="295"/>
      <c r="U41" s="295"/>
      <c r="V41" s="277"/>
      <c r="W41" s="271"/>
    </row>
    <row r="42" spans="1:23" ht="12.75" customHeight="1">
      <c r="A42" s="304"/>
      <c r="B42" s="295"/>
      <c r="C42" s="295"/>
      <c r="D42" s="295"/>
      <c r="E42" s="295"/>
      <c r="F42" s="295"/>
      <c r="G42" s="305"/>
      <c r="H42" s="304"/>
      <c r="I42" s="295"/>
      <c r="J42" s="295"/>
      <c r="K42" s="295"/>
      <c r="L42" s="295"/>
      <c r="M42" s="295"/>
      <c r="N42" s="295"/>
      <c r="O42" s="294"/>
      <c r="P42" s="295"/>
      <c r="Q42" s="295"/>
      <c r="R42" s="295"/>
      <c r="S42" s="295"/>
      <c r="T42" s="295"/>
      <c r="U42" s="295"/>
      <c r="V42" s="277"/>
      <c r="W42" s="271"/>
    </row>
    <row r="43" spans="1:23" ht="12.75" customHeight="1">
      <c r="A43" s="304"/>
      <c r="B43" s="295"/>
      <c r="C43" s="295"/>
      <c r="D43" s="295"/>
      <c r="E43" s="295"/>
      <c r="F43" s="295"/>
      <c r="G43" s="305"/>
      <c r="H43" s="304"/>
      <c r="I43" s="295"/>
      <c r="J43" s="295"/>
      <c r="K43" s="295"/>
      <c r="L43" s="295"/>
      <c r="M43" s="295"/>
      <c r="N43" s="295"/>
      <c r="O43" s="294"/>
      <c r="P43" s="295"/>
      <c r="Q43" s="295"/>
      <c r="R43" s="295"/>
      <c r="S43" s="295"/>
      <c r="T43" s="295"/>
      <c r="U43" s="295"/>
      <c r="V43" s="278"/>
      <c r="W43" s="279"/>
    </row>
    <row r="44" spans="1:23" ht="12.75" customHeight="1">
      <c r="A44" s="304"/>
      <c r="B44" s="295"/>
      <c r="C44" s="295"/>
      <c r="D44" s="295"/>
      <c r="E44" s="295"/>
      <c r="F44" s="295"/>
      <c r="G44" s="305"/>
      <c r="H44" s="304"/>
      <c r="I44" s="295"/>
      <c r="J44" s="295"/>
      <c r="K44" s="295"/>
      <c r="L44" s="295"/>
      <c r="M44" s="295"/>
      <c r="N44" s="295"/>
      <c r="O44" s="294"/>
      <c r="P44" s="295"/>
      <c r="Q44" s="295"/>
      <c r="R44" s="295"/>
      <c r="S44" s="295"/>
      <c r="T44" s="295"/>
      <c r="U44" s="295"/>
      <c r="V44" s="235"/>
      <c r="W44" s="236"/>
    </row>
    <row r="45" spans="1:23" ht="12.75" customHeight="1">
      <c r="A45" s="304"/>
      <c r="B45" s="295"/>
      <c r="C45" s="295"/>
      <c r="D45" s="295"/>
      <c r="E45" s="295"/>
      <c r="F45" s="295"/>
      <c r="G45" s="305"/>
      <c r="H45" s="304"/>
      <c r="I45" s="295"/>
      <c r="J45" s="295"/>
      <c r="K45" s="295"/>
      <c r="L45" s="295"/>
      <c r="M45" s="295"/>
      <c r="N45" s="295"/>
      <c r="O45" s="294"/>
      <c r="P45" s="295"/>
      <c r="Q45" s="295"/>
      <c r="R45" s="295"/>
      <c r="S45" s="295"/>
      <c r="T45" s="295"/>
      <c r="U45" s="295"/>
      <c r="V45" s="235"/>
      <c r="W45" s="236"/>
    </row>
    <row r="46" spans="1:23" ht="12.75" customHeight="1">
      <c r="A46" s="304"/>
      <c r="B46" s="295"/>
      <c r="C46" s="295"/>
      <c r="D46" s="295"/>
      <c r="E46" s="295"/>
      <c r="F46" s="295"/>
      <c r="G46" s="305"/>
      <c r="H46" s="304"/>
      <c r="I46" s="295"/>
      <c r="J46" s="295"/>
      <c r="K46" s="295"/>
      <c r="L46" s="295"/>
      <c r="M46" s="295"/>
      <c r="N46" s="295"/>
      <c r="O46" s="294"/>
      <c r="P46" s="295"/>
      <c r="Q46" s="295"/>
      <c r="R46" s="295"/>
      <c r="S46" s="295"/>
      <c r="T46" s="295"/>
      <c r="U46" s="295"/>
      <c r="V46" s="235"/>
      <c r="W46" s="236"/>
    </row>
    <row r="47" spans="1:23" ht="12.75" customHeight="1">
      <c r="A47" s="304"/>
      <c r="B47" s="295"/>
      <c r="C47" s="295"/>
      <c r="D47" s="295"/>
      <c r="E47" s="295"/>
      <c r="F47" s="295"/>
      <c r="G47" s="305"/>
      <c r="H47" s="304"/>
      <c r="I47" s="295"/>
      <c r="J47" s="295"/>
      <c r="K47" s="295"/>
      <c r="L47" s="295"/>
      <c r="M47" s="295"/>
      <c r="N47" s="295"/>
      <c r="O47" s="294"/>
      <c r="P47" s="295"/>
      <c r="Q47" s="295"/>
      <c r="R47" s="295"/>
      <c r="S47" s="295"/>
      <c r="T47" s="295"/>
      <c r="U47" s="295"/>
      <c r="V47" s="235"/>
      <c r="W47" s="236"/>
    </row>
    <row r="48" spans="1:23" ht="12.75" customHeight="1">
      <c r="A48" s="304"/>
      <c r="B48" s="295"/>
      <c r="C48" s="295"/>
      <c r="D48" s="295"/>
      <c r="E48" s="295"/>
      <c r="F48" s="295"/>
      <c r="G48" s="305"/>
      <c r="H48" s="304"/>
      <c r="I48" s="295"/>
      <c r="J48" s="295"/>
      <c r="K48" s="295"/>
      <c r="L48" s="295"/>
      <c r="M48" s="295"/>
      <c r="N48" s="295"/>
      <c r="O48" s="294"/>
      <c r="P48" s="295"/>
      <c r="Q48" s="295"/>
      <c r="R48" s="295"/>
      <c r="S48" s="295"/>
      <c r="T48" s="295"/>
      <c r="U48" s="295"/>
      <c r="V48" s="239"/>
      <c r="W48" s="240"/>
    </row>
    <row r="49" spans="1:23">
      <c r="A49" s="286" t="s">
        <v>10</v>
      </c>
      <c r="B49" s="287"/>
      <c r="C49" s="287"/>
      <c r="D49" s="287"/>
      <c r="E49" s="287"/>
      <c r="F49" s="287"/>
      <c r="G49" s="287"/>
      <c r="H49" s="287"/>
      <c r="I49" s="287"/>
      <c r="J49" s="287"/>
      <c r="K49" s="287"/>
      <c r="L49" s="287"/>
      <c r="M49" s="287"/>
      <c r="N49" s="287"/>
      <c r="O49" s="287"/>
      <c r="P49" s="287"/>
      <c r="Q49" s="287"/>
      <c r="R49" s="287"/>
      <c r="S49" s="287"/>
      <c r="T49" s="287"/>
      <c r="U49" s="287"/>
      <c r="V49" s="287"/>
      <c r="W49" s="288"/>
    </row>
    <row r="50" spans="1:23">
      <c r="A50" s="289"/>
      <c r="B50" s="290"/>
      <c r="C50" s="290"/>
      <c r="D50" s="290"/>
      <c r="E50" s="290"/>
      <c r="F50" s="290"/>
      <c r="G50" s="290"/>
      <c r="H50" s="290"/>
      <c r="I50" s="290"/>
      <c r="J50" s="290"/>
      <c r="K50" s="290"/>
      <c r="L50" s="290"/>
      <c r="M50" s="290"/>
      <c r="N50" s="290"/>
      <c r="O50" s="290"/>
      <c r="P50" s="290"/>
      <c r="Q50" s="290"/>
      <c r="R50" s="290"/>
      <c r="S50" s="290"/>
      <c r="T50" s="290"/>
      <c r="U50" s="290"/>
      <c r="V50" s="290"/>
      <c r="W50" s="291"/>
    </row>
    <row r="51" spans="1:23">
      <c r="A51" s="289"/>
      <c r="B51" s="290"/>
      <c r="C51" s="290"/>
      <c r="D51" s="290"/>
      <c r="E51" s="290"/>
      <c r="F51" s="290"/>
      <c r="G51" s="290"/>
      <c r="H51" s="290"/>
      <c r="I51" s="290"/>
      <c r="J51" s="290"/>
      <c r="K51" s="290"/>
      <c r="L51" s="290"/>
      <c r="M51" s="290"/>
      <c r="N51" s="290"/>
      <c r="O51" s="290"/>
      <c r="P51" s="290"/>
      <c r="Q51" s="290"/>
      <c r="R51" s="290"/>
      <c r="S51" s="290"/>
      <c r="T51" s="290"/>
      <c r="U51" s="290"/>
      <c r="V51" s="290"/>
      <c r="W51" s="291"/>
    </row>
    <row r="52" spans="1:23" ht="12.75" customHeight="1">
      <c r="A52" s="280" t="s">
        <v>11</v>
      </c>
      <c r="B52" s="281"/>
      <c r="C52" s="281"/>
      <c r="D52" s="281"/>
      <c r="E52" s="281"/>
      <c r="F52" s="281"/>
      <c r="G52" s="281"/>
      <c r="H52" s="281"/>
      <c r="I52" s="281"/>
      <c r="J52" s="281"/>
      <c r="K52" s="281"/>
      <c r="L52" s="281"/>
      <c r="M52" s="281"/>
      <c r="N52" s="281"/>
      <c r="O52" s="281"/>
      <c r="P52" s="281"/>
      <c r="Q52" s="281"/>
      <c r="R52" s="281"/>
      <c r="S52" s="281"/>
      <c r="T52" s="281"/>
      <c r="U52" s="281"/>
      <c r="V52" s="281"/>
      <c r="W52" s="282"/>
    </row>
    <row r="53" spans="1:23">
      <c r="A53" s="280"/>
      <c r="B53" s="281"/>
      <c r="C53" s="281"/>
      <c r="D53" s="281"/>
      <c r="E53" s="281"/>
      <c r="F53" s="281"/>
      <c r="G53" s="281"/>
      <c r="H53" s="281"/>
      <c r="I53" s="281"/>
      <c r="J53" s="281"/>
      <c r="K53" s="281"/>
      <c r="L53" s="281"/>
      <c r="M53" s="281"/>
      <c r="N53" s="281"/>
      <c r="O53" s="281"/>
      <c r="P53" s="281"/>
      <c r="Q53" s="281"/>
      <c r="R53" s="281"/>
      <c r="S53" s="281"/>
      <c r="T53" s="281"/>
      <c r="U53" s="281"/>
      <c r="V53" s="281"/>
      <c r="W53" s="282"/>
    </row>
    <row r="54" spans="1:23">
      <c r="A54" s="280"/>
      <c r="B54" s="281"/>
      <c r="C54" s="281"/>
      <c r="D54" s="281"/>
      <c r="E54" s="281"/>
      <c r="F54" s="281"/>
      <c r="G54" s="281"/>
      <c r="H54" s="281"/>
      <c r="I54" s="281"/>
      <c r="J54" s="281"/>
      <c r="K54" s="281"/>
      <c r="L54" s="281"/>
      <c r="M54" s="281"/>
      <c r="N54" s="281"/>
      <c r="O54" s="281"/>
      <c r="P54" s="281"/>
      <c r="Q54" s="281"/>
      <c r="R54" s="281"/>
      <c r="S54" s="281"/>
      <c r="T54" s="281"/>
      <c r="U54" s="281"/>
      <c r="V54" s="281"/>
      <c r="W54" s="282"/>
    </row>
    <row r="55" spans="1:23">
      <c r="A55" s="280"/>
      <c r="B55" s="281"/>
      <c r="C55" s="281"/>
      <c r="D55" s="281"/>
      <c r="E55" s="281"/>
      <c r="F55" s="281"/>
      <c r="G55" s="281"/>
      <c r="H55" s="281"/>
      <c r="I55" s="281"/>
      <c r="J55" s="281"/>
      <c r="K55" s="281"/>
      <c r="L55" s="281"/>
      <c r="M55" s="281"/>
      <c r="N55" s="281"/>
      <c r="O55" s="281"/>
      <c r="P55" s="281"/>
      <c r="Q55" s="281"/>
      <c r="R55" s="281"/>
      <c r="S55" s="281"/>
      <c r="T55" s="281"/>
      <c r="U55" s="281"/>
      <c r="V55" s="281"/>
      <c r="W55" s="282"/>
    </row>
    <row r="56" spans="1:23">
      <c r="A56" s="280"/>
      <c r="B56" s="281"/>
      <c r="C56" s="281"/>
      <c r="D56" s="281"/>
      <c r="E56" s="281"/>
      <c r="F56" s="281"/>
      <c r="G56" s="281"/>
      <c r="H56" s="281"/>
      <c r="I56" s="281"/>
      <c r="J56" s="281"/>
      <c r="K56" s="281"/>
      <c r="L56" s="281"/>
      <c r="M56" s="281"/>
      <c r="N56" s="281"/>
      <c r="O56" s="281"/>
      <c r="P56" s="281"/>
      <c r="Q56" s="281"/>
      <c r="R56" s="281"/>
      <c r="S56" s="281"/>
      <c r="T56" s="281"/>
      <c r="U56" s="281"/>
      <c r="V56" s="281"/>
      <c r="W56" s="282"/>
    </row>
    <row r="57" spans="1:23">
      <c r="A57" s="280"/>
      <c r="B57" s="281"/>
      <c r="C57" s="281"/>
      <c r="D57" s="281"/>
      <c r="E57" s="281"/>
      <c r="F57" s="281"/>
      <c r="G57" s="281"/>
      <c r="H57" s="281"/>
      <c r="I57" s="281"/>
      <c r="J57" s="281"/>
      <c r="K57" s="281"/>
      <c r="L57" s="281"/>
      <c r="M57" s="281"/>
      <c r="N57" s="281"/>
      <c r="O57" s="281"/>
      <c r="P57" s="281"/>
      <c r="Q57" s="281"/>
      <c r="R57" s="281"/>
      <c r="S57" s="281"/>
      <c r="T57" s="281"/>
      <c r="U57" s="281"/>
      <c r="V57" s="281"/>
      <c r="W57" s="282"/>
    </row>
    <row r="58" spans="1:23">
      <c r="A58" s="280"/>
      <c r="B58" s="281"/>
      <c r="C58" s="281"/>
      <c r="D58" s="281"/>
      <c r="E58" s="281"/>
      <c r="F58" s="281"/>
      <c r="G58" s="281"/>
      <c r="H58" s="281"/>
      <c r="I58" s="281"/>
      <c r="J58" s="281"/>
      <c r="K58" s="281"/>
      <c r="L58" s="281"/>
      <c r="M58" s="281"/>
      <c r="N58" s="281"/>
      <c r="O58" s="281"/>
      <c r="P58" s="281"/>
      <c r="Q58" s="281"/>
      <c r="R58" s="281"/>
      <c r="S58" s="281"/>
      <c r="T58" s="281"/>
      <c r="U58" s="281"/>
      <c r="V58" s="281"/>
      <c r="W58" s="282"/>
    </row>
    <row r="59" spans="1:23">
      <c r="A59" s="280"/>
      <c r="B59" s="281"/>
      <c r="C59" s="281"/>
      <c r="D59" s="281"/>
      <c r="E59" s="281"/>
      <c r="F59" s="281"/>
      <c r="G59" s="281"/>
      <c r="H59" s="281"/>
      <c r="I59" s="281"/>
      <c r="J59" s="281"/>
      <c r="K59" s="281"/>
      <c r="L59" s="281"/>
      <c r="M59" s="281"/>
      <c r="N59" s="281"/>
      <c r="O59" s="281"/>
      <c r="P59" s="281"/>
      <c r="Q59" s="281"/>
      <c r="R59" s="281"/>
      <c r="S59" s="281"/>
      <c r="T59" s="281"/>
      <c r="U59" s="281"/>
      <c r="V59" s="281"/>
      <c r="W59" s="282"/>
    </row>
    <row r="60" spans="1:23">
      <c r="A60" s="280"/>
      <c r="B60" s="281"/>
      <c r="C60" s="281"/>
      <c r="D60" s="281"/>
      <c r="E60" s="281"/>
      <c r="F60" s="281"/>
      <c r="G60" s="281"/>
      <c r="H60" s="281"/>
      <c r="I60" s="281"/>
      <c r="J60" s="281"/>
      <c r="K60" s="281"/>
      <c r="L60" s="281"/>
      <c r="M60" s="281"/>
      <c r="N60" s="281"/>
      <c r="O60" s="281"/>
      <c r="P60" s="281"/>
      <c r="Q60" s="281"/>
      <c r="R60" s="281"/>
      <c r="S60" s="281"/>
      <c r="T60" s="281"/>
      <c r="U60" s="281"/>
      <c r="V60" s="281"/>
      <c r="W60" s="282"/>
    </row>
    <row r="61" spans="1:23">
      <c r="A61" s="280"/>
      <c r="B61" s="281"/>
      <c r="C61" s="281"/>
      <c r="D61" s="281"/>
      <c r="E61" s="281"/>
      <c r="F61" s="281"/>
      <c r="G61" s="281"/>
      <c r="H61" s="281"/>
      <c r="I61" s="281"/>
      <c r="J61" s="281"/>
      <c r="K61" s="281"/>
      <c r="L61" s="281"/>
      <c r="M61" s="281"/>
      <c r="N61" s="281"/>
      <c r="O61" s="281"/>
      <c r="P61" s="281"/>
      <c r="Q61" s="281"/>
      <c r="R61" s="281"/>
      <c r="S61" s="281"/>
      <c r="T61" s="281"/>
      <c r="U61" s="281"/>
      <c r="V61" s="281"/>
      <c r="W61" s="282"/>
    </row>
    <row r="62" spans="1:23">
      <c r="A62" s="280"/>
      <c r="B62" s="281"/>
      <c r="C62" s="281"/>
      <c r="D62" s="281"/>
      <c r="E62" s="281"/>
      <c r="F62" s="281"/>
      <c r="G62" s="281"/>
      <c r="H62" s="281"/>
      <c r="I62" s="281"/>
      <c r="J62" s="281"/>
      <c r="K62" s="281"/>
      <c r="L62" s="281"/>
      <c r="M62" s="281"/>
      <c r="N62" s="281"/>
      <c r="O62" s="281"/>
      <c r="P62" s="281"/>
      <c r="Q62" s="281"/>
      <c r="R62" s="281"/>
      <c r="S62" s="281"/>
      <c r="T62" s="281"/>
      <c r="U62" s="281"/>
      <c r="V62" s="281"/>
      <c r="W62" s="282"/>
    </row>
    <row r="63" spans="1:23">
      <c r="A63" s="280"/>
      <c r="B63" s="281"/>
      <c r="C63" s="281"/>
      <c r="D63" s="281"/>
      <c r="E63" s="281"/>
      <c r="F63" s="281"/>
      <c r="G63" s="281"/>
      <c r="H63" s="281"/>
      <c r="I63" s="281"/>
      <c r="J63" s="281"/>
      <c r="K63" s="281"/>
      <c r="L63" s="281"/>
      <c r="M63" s="281"/>
      <c r="N63" s="281"/>
      <c r="O63" s="281"/>
      <c r="P63" s="281"/>
      <c r="Q63" s="281"/>
      <c r="R63" s="281"/>
      <c r="S63" s="281"/>
      <c r="T63" s="281"/>
      <c r="U63" s="281"/>
      <c r="V63" s="281"/>
      <c r="W63" s="282"/>
    </row>
    <row r="64" spans="1:23">
      <c r="A64" s="280"/>
      <c r="B64" s="281"/>
      <c r="C64" s="281"/>
      <c r="D64" s="281"/>
      <c r="E64" s="281"/>
      <c r="F64" s="281"/>
      <c r="G64" s="281"/>
      <c r="H64" s="281"/>
      <c r="I64" s="281"/>
      <c r="J64" s="281"/>
      <c r="K64" s="281"/>
      <c r="L64" s="281"/>
      <c r="M64" s="281"/>
      <c r="N64" s="281"/>
      <c r="O64" s="281"/>
      <c r="P64" s="281"/>
      <c r="Q64" s="281"/>
      <c r="R64" s="281"/>
      <c r="S64" s="281"/>
      <c r="T64" s="281"/>
      <c r="U64" s="281"/>
      <c r="V64" s="281"/>
      <c r="W64" s="282"/>
    </row>
    <row r="65" spans="1:23">
      <c r="A65" s="280"/>
      <c r="B65" s="281"/>
      <c r="C65" s="281"/>
      <c r="D65" s="281"/>
      <c r="E65" s="281"/>
      <c r="F65" s="281"/>
      <c r="G65" s="281"/>
      <c r="H65" s="281"/>
      <c r="I65" s="281"/>
      <c r="J65" s="281"/>
      <c r="K65" s="281"/>
      <c r="L65" s="281"/>
      <c r="M65" s="281"/>
      <c r="N65" s="281"/>
      <c r="O65" s="281"/>
      <c r="P65" s="281"/>
      <c r="Q65" s="281"/>
      <c r="R65" s="281"/>
      <c r="S65" s="281"/>
      <c r="T65" s="281"/>
      <c r="U65" s="281"/>
      <c r="V65" s="281"/>
      <c r="W65" s="282"/>
    </row>
    <row r="66" spans="1:23">
      <c r="A66" s="280"/>
      <c r="B66" s="281"/>
      <c r="C66" s="281"/>
      <c r="D66" s="281"/>
      <c r="E66" s="281"/>
      <c r="F66" s="281"/>
      <c r="G66" s="281"/>
      <c r="H66" s="281"/>
      <c r="I66" s="281"/>
      <c r="J66" s="281"/>
      <c r="K66" s="281"/>
      <c r="L66" s="281"/>
      <c r="M66" s="281"/>
      <c r="N66" s="281"/>
      <c r="O66" s="281"/>
      <c r="P66" s="281"/>
      <c r="Q66" s="281"/>
      <c r="R66" s="281"/>
      <c r="S66" s="281"/>
      <c r="T66" s="281"/>
      <c r="U66" s="281"/>
      <c r="V66" s="281"/>
      <c r="W66" s="282"/>
    </row>
    <row r="67" spans="1:23">
      <c r="A67" s="280"/>
      <c r="B67" s="281"/>
      <c r="C67" s="281"/>
      <c r="D67" s="281"/>
      <c r="E67" s="281"/>
      <c r="F67" s="281"/>
      <c r="G67" s="281"/>
      <c r="H67" s="281"/>
      <c r="I67" s="281"/>
      <c r="J67" s="281"/>
      <c r="K67" s="281"/>
      <c r="L67" s="281"/>
      <c r="M67" s="281"/>
      <c r="N67" s="281"/>
      <c r="O67" s="281"/>
      <c r="P67" s="281"/>
      <c r="Q67" s="281"/>
      <c r="R67" s="281"/>
      <c r="S67" s="281"/>
      <c r="T67" s="281"/>
      <c r="U67" s="281"/>
      <c r="V67" s="281"/>
      <c r="W67" s="282"/>
    </row>
    <row r="68" spans="1:23">
      <c r="A68" s="280"/>
      <c r="B68" s="281"/>
      <c r="C68" s="281"/>
      <c r="D68" s="281"/>
      <c r="E68" s="281"/>
      <c r="F68" s="281"/>
      <c r="G68" s="281"/>
      <c r="H68" s="281"/>
      <c r="I68" s="281"/>
      <c r="J68" s="281"/>
      <c r="K68" s="281"/>
      <c r="L68" s="281"/>
      <c r="M68" s="281"/>
      <c r="N68" s="281"/>
      <c r="O68" s="281"/>
      <c r="P68" s="281"/>
      <c r="Q68" s="281"/>
      <c r="R68" s="281"/>
      <c r="S68" s="281"/>
      <c r="T68" s="281"/>
      <c r="U68" s="281"/>
      <c r="V68" s="281"/>
      <c r="W68" s="282"/>
    </row>
    <row r="69" spans="1:23">
      <c r="A69" s="280"/>
      <c r="B69" s="281"/>
      <c r="C69" s="281"/>
      <c r="D69" s="281"/>
      <c r="E69" s="281"/>
      <c r="F69" s="281"/>
      <c r="G69" s="281"/>
      <c r="H69" s="281"/>
      <c r="I69" s="281"/>
      <c r="J69" s="281"/>
      <c r="K69" s="281"/>
      <c r="L69" s="281"/>
      <c r="M69" s="281"/>
      <c r="N69" s="281"/>
      <c r="O69" s="281"/>
      <c r="P69" s="281"/>
      <c r="Q69" s="281"/>
      <c r="R69" s="281"/>
      <c r="S69" s="281"/>
      <c r="T69" s="281"/>
      <c r="U69" s="281"/>
      <c r="V69" s="281"/>
      <c r="W69" s="282"/>
    </row>
    <row r="70" spans="1:23">
      <c r="A70" s="280"/>
      <c r="B70" s="281"/>
      <c r="C70" s="281"/>
      <c r="D70" s="281"/>
      <c r="E70" s="281"/>
      <c r="F70" s="281"/>
      <c r="G70" s="281"/>
      <c r="H70" s="281"/>
      <c r="I70" s="281"/>
      <c r="J70" s="281"/>
      <c r="K70" s="281"/>
      <c r="L70" s="281"/>
      <c r="M70" s="281"/>
      <c r="N70" s="281"/>
      <c r="O70" s="281"/>
      <c r="P70" s="281"/>
      <c r="Q70" s="281"/>
      <c r="R70" s="281"/>
      <c r="S70" s="281"/>
      <c r="T70" s="281"/>
      <c r="U70" s="281"/>
      <c r="V70" s="281"/>
      <c r="W70" s="282"/>
    </row>
    <row r="71" spans="1:23">
      <c r="A71" s="280"/>
      <c r="B71" s="281"/>
      <c r="C71" s="281"/>
      <c r="D71" s="281"/>
      <c r="E71" s="281"/>
      <c r="F71" s="281"/>
      <c r="G71" s="281"/>
      <c r="H71" s="281"/>
      <c r="I71" s="281"/>
      <c r="J71" s="281"/>
      <c r="K71" s="281"/>
      <c r="L71" s="281"/>
      <c r="M71" s="281"/>
      <c r="N71" s="281"/>
      <c r="O71" s="281"/>
      <c r="P71" s="281"/>
      <c r="Q71" s="281"/>
      <c r="R71" s="281"/>
      <c r="S71" s="281"/>
      <c r="T71" s="281"/>
      <c r="U71" s="281"/>
      <c r="V71" s="281"/>
      <c r="W71" s="282"/>
    </row>
    <row r="72" spans="1:23">
      <c r="A72" s="280"/>
      <c r="B72" s="281"/>
      <c r="C72" s="281"/>
      <c r="D72" s="281"/>
      <c r="E72" s="281"/>
      <c r="F72" s="281"/>
      <c r="G72" s="281"/>
      <c r="H72" s="281"/>
      <c r="I72" s="281"/>
      <c r="J72" s="281"/>
      <c r="K72" s="281"/>
      <c r="L72" s="281"/>
      <c r="M72" s="281"/>
      <c r="N72" s="281"/>
      <c r="O72" s="281"/>
      <c r="P72" s="281"/>
      <c r="Q72" s="281"/>
      <c r="R72" s="281"/>
      <c r="S72" s="281"/>
      <c r="T72" s="281"/>
      <c r="U72" s="281"/>
      <c r="V72" s="281"/>
      <c r="W72" s="282"/>
    </row>
    <row r="73" spans="1:23">
      <c r="A73" s="280"/>
      <c r="B73" s="281"/>
      <c r="C73" s="281"/>
      <c r="D73" s="281"/>
      <c r="E73" s="281"/>
      <c r="F73" s="281"/>
      <c r="G73" s="281"/>
      <c r="H73" s="281"/>
      <c r="I73" s="281"/>
      <c r="J73" s="281"/>
      <c r="K73" s="281"/>
      <c r="L73" s="281"/>
      <c r="M73" s="281"/>
      <c r="N73" s="281"/>
      <c r="O73" s="281"/>
      <c r="P73" s="281"/>
      <c r="Q73" s="281"/>
      <c r="R73" s="281"/>
      <c r="S73" s="281"/>
      <c r="T73" s="281"/>
      <c r="U73" s="281"/>
      <c r="V73" s="281"/>
      <c r="W73" s="282"/>
    </row>
    <row r="74" spans="1:23">
      <c r="A74" s="280"/>
      <c r="B74" s="281"/>
      <c r="C74" s="281"/>
      <c r="D74" s="281"/>
      <c r="E74" s="281"/>
      <c r="F74" s="281"/>
      <c r="G74" s="281"/>
      <c r="H74" s="281"/>
      <c r="I74" s="281"/>
      <c r="J74" s="281"/>
      <c r="K74" s="281"/>
      <c r="L74" s="281"/>
      <c r="M74" s="281"/>
      <c r="N74" s="281"/>
      <c r="O74" s="281"/>
      <c r="P74" s="281"/>
      <c r="Q74" s="281"/>
      <c r="R74" s="281"/>
      <c r="S74" s="281"/>
      <c r="T74" s="281"/>
      <c r="U74" s="281"/>
      <c r="V74" s="281"/>
      <c r="W74" s="282"/>
    </row>
    <row r="75" spans="1:23">
      <c r="A75" s="280"/>
      <c r="B75" s="281"/>
      <c r="C75" s="281"/>
      <c r="D75" s="281"/>
      <c r="E75" s="281"/>
      <c r="F75" s="281"/>
      <c r="G75" s="281"/>
      <c r="H75" s="281"/>
      <c r="I75" s="281"/>
      <c r="J75" s="281"/>
      <c r="K75" s="281"/>
      <c r="L75" s="281"/>
      <c r="M75" s="281"/>
      <c r="N75" s="281"/>
      <c r="O75" s="281"/>
      <c r="P75" s="281"/>
      <c r="Q75" s="281"/>
      <c r="R75" s="281"/>
      <c r="S75" s="281"/>
      <c r="T75" s="281"/>
      <c r="U75" s="281"/>
      <c r="V75" s="281"/>
      <c r="W75" s="282"/>
    </row>
    <row r="76" spans="1:23">
      <c r="A76" s="280"/>
      <c r="B76" s="281"/>
      <c r="C76" s="281"/>
      <c r="D76" s="281"/>
      <c r="E76" s="281"/>
      <c r="F76" s="281"/>
      <c r="G76" s="281"/>
      <c r="H76" s="281"/>
      <c r="I76" s="281"/>
      <c r="J76" s="281"/>
      <c r="K76" s="281"/>
      <c r="L76" s="281"/>
      <c r="M76" s="281"/>
      <c r="N76" s="281"/>
      <c r="O76" s="281"/>
      <c r="P76" s="281"/>
      <c r="Q76" s="281"/>
      <c r="R76" s="281"/>
      <c r="S76" s="281"/>
      <c r="T76" s="281"/>
      <c r="U76" s="281"/>
      <c r="V76" s="281"/>
      <c r="W76" s="282"/>
    </row>
    <row r="77" spans="1:23">
      <c r="A77" s="280"/>
      <c r="B77" s="281"/>
      <c r="C77" s="281"/>
      <c r="D77" s="281"/>
      <c r="E77" s="281"/>
      <c r="F77" s="281"/>
      <c r="G77" s="281"/>
      <c r="H77" s="281"/>
      <c r="I77" s="281"/>
      <c r="J77" s="281"/>
      <c r="K77" s="281"/>
      <c r="L77" s="281"/>
      <c r="M77" s="281"/>
      <c r="N77" s="281"/>
      <c r="O77" s="281"/>
      <c r="P77" s="281"/>
      <c r="Q77" s="281"/>
      <c r="R77" s="281"/>
      <c r="S77" s="281"/>
      <c r="T77" s="281"/>
      <c r="U77" s="281"/>
      <c r="V77" s="281"/>
      <c r="W77" s="282"/>
    </row>
    <row r="78" spans="1:23">
      <c r="A78" s="280"/>
      <c r="B78" s="281"/>
      <c r="C78" s="281"/>
      <c r="D78" s="281"/>
      <c r="E78" s="281"/>
      <c r="F78" s="281"/>
      <c r="G78" s="281"/>
      <c r="H78" s="281"/>
      <c r="I78" s="281"/>
      <c r="J78" s="281"/>
      <c r="K78" s="281"/>
      <c r="L78" s="281"/>
      <c r="M78" s="281"/>
      <c r="N78" s="281"/>
      <c r="O78" s="281"/>
      <c r="P78" s="281"/>
      <c r="Q78" s="281"/>
      <c r="R78" s="281"/>
      <c r="S78" s="281"/>
      <c r="T78" s="281"/>
      <c r="U78" s="281"/>
      <c r="V78" s="281"/>
      <c r="W78" s="282"/>
    </row>
    <row r="79" spans="1:23">
      <c r="A79" s="280"/>
      <c r="B79" s="281"/>
      <c r="C79" s="281"/>
      <c r="D79" s="281"/>
      <c r="E79" s="281"/>
      <c r="F79" s="281"/>
      <c r="G79" s="281"/>
      <c r="H79" s="281"/>
      <c r="I79" s="281"/>
      <c r="J79" s="281"/>
      <c r="K79" s="281"/>
      <c r="L79" s="281"/>
      <c r="M79" s="281"/>
      <c r="N79" s="281"/>
      <c r="O79" s="281"/>
      <c r="P79" s="281"/>
      <c r="Q79" s="281"/>
      <c r="R79" s="281"/>
      <c r="S79" s="281"/>
      <c r="T79" s="281"/>
      <c r="U79" s="281"/>
      <c r="V79" s="281"/>
      <c r="W79" s="282"/>
    </row>
    <row r="80" spans="1:23">
      <c r="A80" s="280"/>
      <c r="B80" s="281"/>
      <c r="C80" s="281"/>
      <c r="D80" s="281"/>
      <c r="E80" s="281"/>
      <c r="F80" s="281"/>
      <c r="G80" s="281"/>
      <c r="H80" s="281"/>
      <c r="I80" s="281"/>
      <c r="J80" s="281"/>
      <c r="K80" s="281"/>
      <c r="L80" s="281"/>
      <c r="M80" s="281"/>
      <c r="N80" s="281"/>
      <c r="O80" s="281"/>
      <c r="P80" s="281"/>
      <c r="Q80" s="281"/>
      <c r="R80" s="281"/>
      <c r="S80" s="281"/>
      <c r="T80" s="281"/>
      <c r="U80" s="281"/>
      <c r="V80" s="281"/>
      <c r="W80" s="282"/>
    </row>
    <row r="81" spans="1:23">
      <c r="A81" s="280"/>
      <c r="B81" s="281"/>
      <c r="C81" s="281"/>
      <c r="D81" s="281"/>
      <c r="E81" s="281"/>
      <c r="F81" s="281"/>
      <c r="G81" s="281"/>
      <c r="H81" s="281"/>
      <c r="I81" s="281"/>
      <c r="J81" s="281"/>
      <c r="K81" s="281"/>
      <c r="L81" s="281"/>
      <c r="M81" s="281"/>
      <c r="N81" s="281"/>
      <c r="O81" s="281"/>
      <c r="P81" s="281"/>
      <c r="Q81" s="281"/>
      <c r="R81" s="281"/>
      <c r="S81" s="281"/>
      <c r="T81" s="281"/>
      <c r="U81" s="281"/>
      <c r="V81" s="281"/>
      <c r="W81" s="282"/>
    </row>
    <row r="82" spans="1:23">
      <c r="A82" s="280"/>
      <c r="B82" s="281"/>
      <c r="C82" s="281"/>
      <c r="D82" s="281"/>
      <c r="E82" s="281"/>
      <c r="F82" s="281"/>
      <c r="G82" s="281"/>
      <c r="H82" s="281"/>
      <c r="I82" s="281"/>
      <c r="J82" s="281"/>
      <c r="K82" s="281"/>
      <c r="L82" s="281"/>
      <c r="M82" s="281"/>
      <c r="N82" s="281"/>
      <c r="O82" s="281"/>
      <c r="P82" s="281"/>
      <c r="Q82" s="281"/>
      <c r="R82" s="281"/>
      <c r="S82" s="281"/>
      <c r="T82" s="281"/>
      <c r="U82" s="281"/>
      <c r="V82" s="281"/>
      <c r="W82" s="282"/>
    </row>
    <row r="83" spans="1:23">
      <c r="A83" s="280"/>
      <c r="B83" s="281"/>
      <c r="C83" s="281"/>
      <c r="D83" s="281"/>
      <c r="E83" s="281"/>
      <c r="F83" s="281"/>
      <c r="G83" s="281"/>
      <c r="H83" s="281"/>
      <c r="I83" s="281"/>
      <c r="J83" s="281"/>
      <c r="K83" s="281"/>
      <c r="L83" s="281"/>
      <c r="M83" s="281"/>
      <c r="N83" s="281"/>
      <c r="O83" s="281"/>
      <c r="P83" s="281"/>
      <c r="Q83" s="281"/>
      <c r="R83" s="281"/>
      <c r="S83" s="281"/>
      <c r="T83" s="281"/>
      <c r="U83" s="281"/>
      <c r="V83" s="281"/>
      <c r="W83" s="282"/>
    </row>
    <row r="84" spans="1:23">
      <c r="A84" s="280"/>
      <c r="B84" s="281"/>
      <c r="C84" s="281"/>
      <c r="D84" s="281"/>
      <c r="E84" s="281"/>
      <c r="F84" s="281"/>
      <c r="G84" s="281"/>
      <c r="H84" s="281"/>
      <c r="I84" s="281"/>
      <c r="J84" s="281"/>
      <c r="K84" s="281"/>
      <c r="L84" s="281"/>
      <c r="M84" s="281"/>
      <c r="N84" s="281"/>
      <c r="O84" s="281"/>
      <c r="P84" s="281"/>
      <c r="Q84" s="281"/>
      <c r="R84" s="281"/>
      <c r="S84" s="281"/>
      <c r="T84" s="281"/>
      <c r="U84" s="281"/>
      <c r="V84" s="281"/>
      <c r="W84" s="282"/>
    </row>
    <row r="85" spans="1:23">
      <c r="A85" s="280"/>
      <c r="B85" s="281"/>
      <c r="C85" s="281"/>
      <c r="D85" s="281"/>
      <c r="E85" s="281"/>
      <c r="F85" s="281"/>
      <c r="G85" s="281"/>
      <c r="H85" s="281"/>
      <c r="I85" s="281"/>
      <c r="J85" s="281"/>
      <c r="K85" s="281"/>
      <c r="L85" s="281"/>
      <c r="M85" s="281"/>
      <c r="N85" s="281"/>
      <c r="O85" s="281"/>
      <c r="P85" s="281"/>
      <c r="Q85" s="281"/>
      <c r="R85" s="281"/>
      <c r="S85" s="281"/>
      <c r="T85" s="281"/>
      <c r="U85" s="281"/>
      <c r="V85" s="281"/>
      <c r="W85" s="282"/>
    </row>
    <row r="86" spans="1:23">
      <c r="A86" s="280"/>
      <c r="B86" s="281"/>
      <c r="C86" s="281"/>
      <c r="D86" s="281"/>
      <c r="E86" s="281"/>
      <c r="F86" s="281"/>
      <c r="G86" s="281"/>
      <c r="H86" s="281"/>
      <c r="I86" s="281"/>
      <c r="J86" s="281"/>
      <c r="K86" s="281"/>
      <c r="L86" s="281"/>
      <c r="M86" s="281"/>
      <c r="N86" s="281"/>
      <c r="O86" s="281"/>
      <c r="P86" s="281"/>
      <c r="Q86" s="281"/>
      <c r="R86" s="281"/>
      <c r="S86" s="281"/>
      <c r="T86" s="281"/>
      <c r="U86" s="281"/>
      <c r="V86" s="281"/>
      <c r="W86" s="282"/>
    </row>
    <row r="87" spans="1:23">
      <c r="A87" s="280"/>
      <c r="B87" s="281"/>
      <c r="C87" s="281"/>
      <c r="D87" s="281"/>
      <c r="E87" s="281"/>
      <c r="F87" s="281"/>
      <c r="G87" s="281"/>
      <c r="H87" s="281"/>
      <c r="I87" s="281"/>
      <c r="J87" s="281"/>
      <c r="K87" s="281"/>
      <c r="L87" s="281"/>
      <c r="M87" s="281"/>
      <c r="N87" s="281"/>
      <c r="O87" s="281"/>
      <c r="P87" s="281"/>
      <c r="Q87" s="281"/>
      <c r="R87" s="281"/>
      <c r="S87" s="281"/>
      <c r="T87" s="281"/>
      <c r="U87" s="281"/>
      <c r="V87" s="281"/>
      <c r="W87" s="282"/>
    </row>
    <row r="88" spans="1:23">
      <c r="A88" s="280"/>
      <c r="B88" s="281"/>
      <c r="C88" s="281"/>
      <c r="D88" s="281"/>
      <c r="E88" s="281"/>
      <c r="F88" s="281"/>
      <c r="G88" s="281"/>
      <c r="H88" s="281"/>
      <c r="I88" s="281"/>
      <c r="J88" s="281"/>
      <c r="K88" s="281"/>
      <c r="L88" s="281"/>
      <c r="M88" s="281"/>
      <c r="N88" s="281"/>
      <c r="O88" s="281"/>
      <c r="P88" s="281"/>
      <c r="Q88" s="281"/>
      <c r="R88" s="281"/>
      <c r="S88" s="281"/>
      <c r="T88" s="281"/>
      <c r="U88" s="281"/>
      <c r="V88" s="281"/>
      <c r="W88" s="282"/>
    </row>
    <row r="89" spans="1:23">
      <c r="A89" s="280"/>
      <c r="B89" s="281"/>
      <c r="C89" s="281"/>
      <c r="D89" s="281"/>
      <c r="E89" s="281"/>
      <c r="F89" s="281"/>
      <c r="G89" s="281"/>
      <c r="H89" s="281"/>
      <c r="I89" s="281"/>
      <c r="J89" s="281"/>
      <c r="K89" s="281"/>
      <c r="L89" s="281"/>
      <c r="M89" s="281"/>
      <c r="N89" s="281"/>
      <c r="O89" s="281"/>
      <c r="P89" s="281"/>
      <c r="Q89" s="281"/>
      <c r="R89" s="281"/>
      <c r="S89" s="281"/>
      <c r="T89" s="281"/>
      <c r="U89" s="281"/>
      <c r="V89" s="281"/>
      <c r="W89" s="282"/>
    </row>
    <row r="90" spans="1:23">
      <c r="A90" s="280"/>
      <c r="B90" s="281"/>
      <c r="C90" s="281"/>
      <c r="D90" s="281"/>
      <c r="E90" s="281"/>
      <c r="F90" s="281"/>
      <c r="G90" s="281"/>
      <c r="H90" s="281"/>
      <c r="I90" s="281"/>
      <c r="J90" s="281"/>
      <c r="K90" s="281"/>
      <c r="L90" s="281"/>
      <c r="M90" s="281"/>
      <c r="N90" s="281"/>
      <c r="O90" s="281"/>
      <c r="P90" s="281"/>
      <c r="Q90" s="281"/>
      <c r="R90" s="281"/>
      <c r="S90" s="281"/>
      <c r="T90" s="281"/>
      <c r="U90" s="281"/>
      <c r="V90" s="281"/>
      <c r="W90" s="282"/>
    </row>
    <row r="91" spans="1:23">
      <c r="A91" s="280"/>
      <c r="B91" s="281"/>
      <c r="C91" s="281"/>
      <c r="D91" s="281"/>
      <c r="E91" s="281"/>
      <c r="F91" s="281"/>
      <c r="G91" s="281"/>
      <c r="H91" s="281"/>
      <c r="I91" s="281"/>
      <c r="J91" s="281"/>
      <c r="K91" s="281"/>
      <c r="L91" s="281"/>
      <c r="M91" s="281"/>
      <c r="N91" s="281"/>
      <c r="O91" s="281"/>
      <c r="P91" s="281"/>
      <c r="Q91" s="281"/>
      <c r="R91" s="281"/>
      <c r="S91" s="281"/>
      <c r="T91" s="281"/>
      <c r="U91" s="281"/>
      <c r="V91" s="281"/>
      <c r="W91" s="282"/>
    </row>
    <row r="92" spans="1:23">
      <c r="A92" s="280"/>
      <c r="B92" s="281"/>
      <c r="C92" s="281"/>
      <c r="D92" s="281"/>
      <c r="E92" s="281"/>
      <c r="F92" s="281"/>
      <c r="G92" s="281"/>
      <c r="H92" s="281"/>
      <c r="I92" s="281"/>
      <c r="J92" s="281"/>
      <c r="K92" s="281"/>
      <c r="L92" s="281"/>
      <c r="M92" s="281"/>
      <c r="N92" s="281"/>
      <c r="O92" s="281"/>
      <c r="P92" s="281"/>
      <c r="Q92" s="281"/>
      <c r="R92" s="281"/>
      <c r="S92" s="281"/>
      <c r="T92" s="281"/>
      <c r="U92" s="281"/>
      <c r="V92" s="281"/>
      <c r="W92" s="282"/>
    </row>
    <row r="93" spans="1:23">
      <c r="A93" s="280"/>
      <c r="B93" s="281"/>
      <c r="C93" s="281"/>
      <c r="D93" s="281"/>
      <c r="E93" s="281"/>
      <c r="F93" s="281"/>
      <c r="G93" s="281"/>
      <c r="H93" s="281"/>
      <c r="I93" s="281"/>
      <c r="J93" s="281"/>
      <c r="K93" s="281"/>
      <c r="L93" s="281"/>
      <c r="M93" s="281"/>
      <c r="N93" s="281"/>
      <c r="O93" s="281"/>
      <c r="P93" s="281"/>
      <c r="Q93" s="281"/>
      <c r="R93" s="281"/>
      <c r="S93" s="281"/>
      <c r="T93" s="281"/>
      <c r="U93" s="281"/>
      <c r="V93" s="281"/>
      <c r="W93" s="282"/>
    </row>
    <row r="94" spans="1:23">
      <c r="A94" s="280"/>
      <c r="B94" s="281"/>
      <c r="C94" s="281"/>
      <c r="D94" s="281"/>
      <c r="E94" s="281"/>
      <c r="F94" s="281"/>
      <c r="G94" s="281"/>
      <c r="H94" s="281"/>
      <c r="I94" s="281"/>
      <c r="J94" s="281"/>
      <c r="K94" s="281"/>
      <c r="L94" s="281"/>
      <c r="M94" s="281"/>
      <c r="N94" s="281"/>
      <c r="O94" s="281"/>
      <c r="P94" s="281"/>
      <c r="Q94" s="281"/>
      <c r="R94" s="281"/>
      <c r="S94" s="281"/>
      <c r="T94" s="281"/>
      <c r="U94" s="281"/>
      <c r="V94" s="281"/>
      <c r="W94" s="282"/>
    </row>
    <row r="95" spans="1:23">
      <c r="A95" s="280"/>
      <c r="B95" s="281"/>
      <c r="C95" s="281"/>
      <c r="D95" s="281"/>
      <c r="E95" s="281"/>
      <c r="F95" s="281"/>
      <c r="G95" s="281"/>
      <c r="H95" s="281"/>
      <c r="I95" s="281"/>
      <c r="J95" s="281"/>
      <c r="K95" s="281"/>
      <c r="L95" s="281"/>
      <c r="M95" s="281"/>
      <c r="N95" s="281"/>
      <c r="O95" s="281"/>
      <c r="P95" s="281"/>
      <c r="Q95" s="281"/>
      <c r="R95" s="281"/>
      <c r="S95" s="281"/>
      <c r="T95" s="281"/>
      <c r="U95" s="281"/>
      <c r="V95" s="281"/>
      <c r="W95" s="282"/>
    </row>
    <row r="96" spans="1:23">
      <c r="A96" s="280"/>
      <c r="B96" s="281"/>
      <c r="C96" s="281"/>
      <c r="D96" s="281"/>
      <c r="E96" s="281"/>
      <c r="F96" s="281"/>
      <c r="G96" s="281"/>
      <c r="H96" s="281"/>
      <c r="I96" s="281"/>
      <c r="J96" s="281"/>
      <c r="K96" s="281"/>
      <c r="L96" s="281"/>
      <c r="M96" s="281"/>
      <c r="N96" s="281"/>
      <c r="O96" s="281"/>
      <c r="P96" s="281"/>
      <c r="Q96" s="281"/>
      <c r="R96" s="281"/>
      <c r="S96" s="281"/>
      <c r="T96" s="281"/>
      <c r="U96" s="281"/>
      <c r="V96" s="281"/>
      <c r="W96" s="282"/>
    </row>
    <row r="97" spans="1:23">
      <c r="A97" s="280"/>
      <c r="B97" s="281"/>
      <c r="C97" s="281"/>
      <c r="D97" s="281"/>
      <c r="E97" s="281"/>
      <c r="F97" s="281"/>
      <c r="G97" s="281"/>
      <c r="H97" s="281"/>
      <c r="I97" s="281"/>
      <c r="J97" s="281"/>
      <c r="K97" s="281"/>
      <c r="L97" s="281"/>
      <c r="M97" s="281"/>
      <c r="N97" s="281"/>
      <c r="O97" s="281"/>
      <c r="P97" s="281"/>
      <c r="Q97" s="281"/>
      <c r="R97" s="281"/>
      <c r="S97" s="281"/>
      <c r="T97" s="281"/>
      <c r="U97" s="281"/>
      <c r="V97" s="281"/>
      <c r="W97" s="282"/>
    </row>
    <row r="98" spans="1:23">
      <c r="A98" s="280"/>
      <c r="B98" s="281"/>
      <c r="C98" s="281"/>
      <c r="D98" s="281"/>
      <c r="E98" s="281"/>
      <c r="F98" s="281"/>
      <c r="G98" s="281"/>
      <c r="H98" s="281"/>
      <c r="I98" s="281"/>
      <c r="J98" s="281"/>
      <c r="K98" s="281"/>
      <c r="L98" s="281"/>
      <c r="M98" s="281"/>
      <c r="N98" s="281"/>
      <c r="O98" s="281"/>
      <c r="P98" s="281"/>
      <c r="Q98" s="281"/>
      <c r="R98" s="281"/>
      <c r="S98" s="281"/>
      <c r="T98" s="281"/>
      <c r="U98" s="281"/>
      <c r="V98" s="281"/>
      <c r="W98" s="282"/>
    </row>
    <row r="99" spans="1:23">
      <c r="A99" s="280"/>
      <c r="B99" s="281"/>
      <c r="C99" s="281"/>
      <c r="D99" s="281"/>
      <c r="E99" s="281"/>
      <c r="F99" s="281"/>
      <c r="G99" s="281"/>
      <c r="H99" s="281"/>
      <c r="I99" s="281"/>
      <c r="J99" s="281"/>
      <c r="K99" s="281"/>
      <c r="L99" s="281"/>
      <c r="M99" s="281"/>
      <c r="N99" s="281"/>
      <c r="O99" s="281"/>
      <c r="P99" s="281"/>
      <c r="Q99" s="281"/>
      <c r="R99" s="281"/>
      <c r="S99" s="281"/>
      <c r="T99" s="281"/>
      <c r="U99" s="281"/>
      <c r="V99" s="281"/>
      <c r="W99" s="282"/>
    </row>
    <row r="100" spans="1:23">
      <c r="A100" s="280"/>
      <c r="B100" s="281"/>
      <c r="C100" s="281"/>
      <c r="D100" s="281"/>
      <c r="E100" s="281"/>
      <c r="F100" s="281"/>
      <c r="G100" s="281"/>
      <c r="H100" s="281"/>
      <c r="I100" s="281"/>
      <c r="J100" s="281"/>
      <c r="K100" s="281"/>
      <c r="L100" s="281"/>
      <c r="M100" s="281"/>
      <c r="N100" s="281"/>
      <c r="O100" s="281"/>
      <c r="P100" s="281"/>
      <c r="Q100" s="281"/>
      <c r="R100" s="281"/>
      <c r="S100" s="281"/>
      <c r="T100" s="281"/>
      <c r="U100" s="281"/>
      <c r="V100" s="281"/>
      <c r="W100" s="282"/>
    </row>
    <row r="101" spans="1:23">
      <c r="A101" s="280"/>
      <c r="B101" s="281"/>
      <c r="C101" s="281"/>
      <c r="D101" s="281"/>
      <c r="E101" s="281"/>
      <c r="F101" s="281"/>
      <c r="G101" s="281"/>
      <c r="H101" s="281"/>
      <c r="I101" s="281"/>
      <c r="J101" s="281"/>
      <c r="K101" s="281"/>
      <c r="L101" s="281"/>
      <c r="M101" s="281"/>
      <c r="N101" s="281"/>
      <c r="O101" s="281"/>
      <c r="P101" s="281"/>
      <c r="Q101" s="281"/>
      <c r="R101" s="281"/>
      <c r="S101" s="281"/>
      <c r="T101" s="281"/>
      <c r="U101" s="281"/>
      <c r="V101" s="281"/>
      <c r="W101" s="282"/>
    </row>
    <row r="102" spans="1:23">
      <c r="A102" s="280"/>
      <c r="B102" s="281"/>
      <c r="C102" s="281"/>
      <c r="D102" s="281"/>
      <c r="E102" s="281"/>
      <c r="F102" s="281"/>
      <c r="G102" s="281"/>
      <c r="H102" s="281"/>
      <c r="I102" s="281"/>
      <c r="J102" s="281"/>
      <c r="K102" s="281"/>
      <c r="L102" s="281"/>
      <c r="M102" s="281"/>
      <c r="N102" s="281"/>
      <c r="O102" s="281"/>
      <c r="P102" s="281"/>
      <c r="Q102" s="281"/>
      <c r="R102" s="281"/>
      <c r="S102" s="281"/>
      <c r="T102" s="281"/>
      <c r="U102" s="281"/>
      <c r="V102" s="281"/>
      <c r="W102" s="282"/>
    </row>
    <row r="103" spans="1:23">
      <c r="A103" s="280"/>
      <c r="B103" s="281"/>
      <c r="C103" s="281"/>
      <c r="D103" s="281"/>
      <c r="E103" s="281"/>
      <c r="F103" s="281"/>
      <c r="G103" s="281"/>
      <c r="H103" s="281"/>
      <c r="I103" s="281"/>
      <c r="J103" s="281"/>
      <c r="K103" s="281"/>
      <c r="L103" s="281"/>
      <c r="M103" s="281"/>
      <c r="N103" s="281"/>
      <c r="O103" s="281"/>
      <c r="P103" s="281"/>
      <c r="Q103" s="281"/>
      <c r="R103" s="281"/>
      <c r="S103" s="281"/>
      <c r="T103" s="281"/>
      <c r="U103" s="281"/>
      <c r="V103" s="281"/>
      <c r="W103" s="282"/>
    </row>
    <row r="104" spans="1:23">
      <c r="A104" s="280"/>
      <c r="B104" s="281"/>
      <c r="C104" s="281"/>
      <c r="D104" s="281"/>
      <c r="E104" s="281"/>
      <c r="F104" s="281"/>
      <c r="G104" s="281"/>
      <c r="H104" s="281"/>
      <c r="I104" s="281"/>
      <c r="J104" s="281"/>
      <c r="K104" s="281"/>
      <c r="L104" s="281"/>
      <c r="M104" s="281"/>
      <c r="N104" s="281"/>
      <c r="O104" s="281"/>
      <c r="P104" s="281"/>
      <c r="Q104" s="281"/>
      <c r="R104" s="281"/>
      <c r="S104" s="281"/>
      <c r="T104" s="281"/>
      <c r="U104" s="281"/>
      <c r="V104" s="281"/>
      <c r="W104" s="282"/>
    </row>
    <row r="105" spans="1:23">
      <c r="A105" s="280"/>
      <c r="B105" s="281"/>
      <c r="C105" s="281"/>
      <c r="D105" s="281"/>
      <c r="E105" s="281"/>
      <c r="F105" s="281"/>
      <c r="G105" s="281"/>
      <c r="H105" s="281"/>
      <c r="I105" s="281"/>
      <c r="J105" s="281"/>
      <c r="K105" s="281"/>
      <c r="L105" s="281"/>
      <c r="M105" s="281"/>
      <c r="N105" s="281"/>
      <c r="O105" s="281"/>
      <c r="P105" s="281"/>
      <c r="Q105" s="281"/>
      <c r="R105" s="281"/>
      <c r="S105" s="281"/>
      <c r="T105" s="281"/>
      <c r="U105" s="281"/>
      <c r="V105" s="281"/>
      <c r="W105" s="282"/>
    </row>
    <row r="106" spans="1:23" ht="13.5" thickBot="1">
      <c r="A106" s="283"/>
      <c r="B106" s="284"/>
      <c r="C106" s="284"/>
      <c r="D106" s="284"/>
      <c r="E106" s="284"/>
      <c r="F106" s="284"/>
      <c r="G106" s="284"/>
      <c r="H106" s="284"/>
      <c r="I106" s="284"/>
      <c r="J106" s="284"/>
      <c r="K106" s="284"/>
      <c r="L106" s="284"/>
      <c r="M106" s="284"/>
      <c r="N106" s="284"/>
      <c r="O106" s="284"/>
      <c r="P106" s="284"/>
      <c r="Q106" s="284"/>
      <c r="R106" s="284"/>
      <c r="S106" s="284"/>
      <c r="T106" s="284"/>
      <c r="U106" s="284"/>
      <c r="V106" s="284"/>
      <c r="W106" s="285"/>
    </row>
  </sheetData>
  <sheetProtection algorithmName="SHA-512" hashValue="bJx+k0DQ4zQmitoNtcknv/6vpD8W/d4nbBN9wDcerrWSRV4Ie2uiGmHG4rjFKou7I3kT10SRLPhJXpjvtXaYEw==" saltValue="ej+zJaxXqXVWQsno5nlKrQ==" spinCount="100000" sheet="1" objects="1" scenarios="1"/>
  <mergeCells count="16">
    <mergeCell ref="A1:W3"/>
    <mergeCell ref="A4:W7"/>
    <mergeCell ref="V29:W33"/>
    <mergeCell ref="A52:W106"/>
    <mergeCell ref="A49:W51"/>
    <mergeCell ref="O11:U48"/>
    <mergeCell ref="V18:W20"/>
    <mergeCell ref="V21:W25"/>
    <mergeCell ref="V26:W28"/>
    <mergeCell ref="V39:W43"/>
    <mergeCell ref="V36:W38"/>
    <mergeCell ref="A11:G48"/>
    <mergeCell ref="H8:N10"/>
    <mergeCell ref="H11:N48"/>
    <mergeCell ref="O8:W10"/>
    <mergeCell ref="A8:G10"/>
  </mergeCells>
  <hyperlinks>
    <hyperlink ref="V21:W25" r:id="rId1" display="Link" xr:uid="{E5165EF6-CFAE-413F-B17A-3E65A3324061}"/>
    <hyperlink ref="V29:W33" r:id="rId2" display="Link" xr:uid="{0F2DA43C-C4CB-4B77-B89B-08751AE0E8EC}"/>
    <hyperlink ref="V39:W43" r:id="rId3" display="Link" xr:uid="{EF03E2E9-E345-48EC-95C9-D6B9849A03C8}"/>
    <hyperlink ref="A4" r:id="rId4" xr:uid="{B7180C6B-DABF-48E7-811E-34DF25E0ADB6}"/>
    <hyperlink ref="A4:W7" r:id="rId5" display="https://youtu.be/EturQ61LT-A" xr:uid="{099E1871-B580-40E0-913D-8C419B034BB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Z100"/>
  <sheetViews>
    <sheetView topLeftCell="B8" zoomScaleNormal="100" workbookViewId="0">
      <selection activeCell="D16" sqref="D16"/>
    </sheetView>
  </sheetViews>
  <sheetFormatPr defaultColWidth="14.42578125" defaultRowHeight="15.75" customHeight="1"/>
  <cols>
    <col min="2" max="2" width="21.85546875" customWidth="1"/>
    <col min="3" max="3" width="15.28515625" customWidth="1"/>
    <col min="4" max="4" width="15.42578125" customWidth="1"/>
    <col min="5" max="5" width="16.5703125" customWidth="1"/>
    <col min="6" max="6" width="15.7109375" customWidth="1"/>
    <col min="7" max="7" width="13.5703125" customWidth="1"/>
    <col min="8" max="8" width="14" customWidth="1"/>
    <col min="9" max="9" width="18" customWidth="1"/>
    <col min="10" max="10" width="14.7109375" customWidth="1"/>
    <col min="11" max="11" width="14.42578125" customWidth="1"/>
    <col min="13" max="14" width="8.28515625" customWidth="1"/>
    <col min="15" max="15" width="7.7109375" customWidth="1"/>
  </cols>
  <sheetData>
    <row r="1" spans="1:26" ht="24.75" customHeight="1">
      <c r="A1" s="96"/>
      <c r="B1" s="342" t="s">
        <v>12</v>
      </c>
      <c r="C1" s="343"/>
      <c r="D1" s="343"/>
      <c r="E1" s="343"/>
      <c r="F1" s="343"/>
      <c r="G1" s="343"/>
      <c r="H1" s="343"/>
      <c r="I1" s="343"/>
      <c r="J1" s="343"/>
      <c r="K1" s="343"/>
      <c r="L1" s="343"/>
      <c r="M1" s="341" t="s">
        <v>13</v>
      </c>
      <c r="N1" s="341"/>
      <c r="O1" s="341"/>
      <c r="P1" s="438" t="s">
        <v>14</v>
      </c>
      <c r="Q1" s="439"/>
      <c r="R1" s="439"/>
      <c r="S1" s="439"/>
      <c r="T1" s="439"/>
      <c r="U1" s="439"/>
      <c r="V1" s="439"/>
      <c r="W1" s="439"/>
      <c r="X1" s="442" t="s">
        <v>15</v>
      </c>
      <c r="Y1" s="442"/>
      <c r="Z1" s="443"/>
    </row>
    <row r="2" spans="1:26" ht="22.5" customHeight="1" thickBot="1">
      <c r="A2" s="96"/>
      <c r="B2" s="344"/>
      <c r="C2" s="338"/>
      <c r="D2" s="338"/>
      <c r="E2" s="338"/>
      <c r="F2" s="338"/>
      <c r="G2" s="338"/>
      <c r="H2" s="338"/>
      <c r="I2" s="338"/>
      <c r="J2" s="338"/>
      <c r="K2" s="338"/>
      <c r="L2" s="338"/>
      <c r="M2" s="339" t="s">
        <v>16</v>
      </c>
      <c r="N2" s="340"/>
      <c r="O2" s="340"/>
      <c r="P2" s="440"/>
      <c r="Q2" s="441"/>
      <c r="R2" s="441"/>
      <c r="S2" s="441"/>
      <c r="T2" s="441"/>
      <c r="U2" s="441"/>
      <c r="V2" s="441"/>
      <c r="W2" s="441"/>
      <c r="X2" s="444"/>
      <c r="Y2" s="444"/>
      <c r="Z2" s="445"/>
    </row>
    <row r="3" spans="1:26" ht="63.75" customHeight="1">
      <c r="A3" s="96"/>
      <c r="B3" s="344"/>
      <c r="C3" s="338"/>
      <c r="D3" s="338"/>
      <c r="E3" s="338"/>
      <c r="F3" s="338"/>
      <c r="G3" s="338"/>
      <c r="H3" s="338"/>
      <c r="I3" s="338"/>
      <c r="J3" s="338"/>
      <c r="K3" s="338"/>
      <c r="L3" s="338"/>
      <c r="M3" s="338"/>
      <c r="N3" s="338"/>
      <c r="O3" s="338"/>
      <c r="P3" s="446" t="str">
        <f>INDEX(Norms!B1:B6, MATCH(X1,Norms!A1:A6,0))</f>
        <v>Quad Strength:
Grindem et al, 2016 showed their was a 84% reduction in injury risk if quadriceps LSI criteria was met as part of a test battery. The risk of another ACL injury was reduced by 3% for every 1% increase in quadricep LSI . Arhoset al, 2020 also found there was a reduction in the risk of early onset symptomatic osteoarthritis after ACLR. The risk was decreased by 4% for every 1% increase. Grindem et al, 2016 provided an average quadriceps LSI of 84.4% (±15.2) in their cohort, however this was tested on isokinetics at 60 d/sec. Sinacore et al, 2017 had simliar findings when quads were tested isometrically with a handheld dynamometer.
Test battery that showed 84% reduction in re-injury after ACLR (Grindem et al, 2016), and 2.5% re-injury rate after 2 years from surgery (Arundale et al, 2018):
- Quadriceps LSI: &gt;90%
- 4 single leg hop tests: &gt;90%
- KOOS-ADL: &gt; 90%
- Global Rating Scale: 90%
Sinacore et al, 2017: 56 patients s/p ACLR, isometrics @ 90
Quad LSI (%): 86.5 ± 19.2
Lesnak et al, 2019 assessed the validitiy of handheld dynamometers and found they tend to overestimate strength, and provided normative values for a isometric assessment of quad strength with both a isokinetic dynamometer and a handheld dynamometer.
Healthy, 12 males, 8 females, 23.7 y/o, tegner 6.7, isometric @ 90
- Handheld dynamometer peak torque to bodyweight ratio (Nm/kg or %BW): 3.81±.91 or 127%±30%
- Isokinetic Dynamometer peak torque to bodyweight ratio (Nm/kg or %BW): 3.57±.61 or 119%±20%
van Melick et al, 2022 reviewed norms across various cutting sports however their data was primarily isokinetics across different speeds, or the isometric values were not scaled to bodyweight. These values are in the referenced article on the "info" tab as well as www.aclreference.nl.
Researchers at the University of Virginia also provided a website to enter data to compare where your patient is in their ACL recovery compared to a large data set. You may enter and compare your data at www.acldashboard.com
Hamstring Strength:
Hamstring strength symmetry has not been found to be predictive of injury or re-injury, however it is a component ot algorithm-based rehab which has been shown to reduce re-injury rates compared to traditional rehab. Whiteley et al, 2012 assessed reliability of HHD testing for hamstring and provided norms across different positions. Martin et al, 2022 graded measurement of knee flexors an "A" level recommendation in their clinical practice guideline:
216 males, professional soccer, healthy
- Isometric hamstring, seated, knee at 30 deg:
   - Right vs. left LSI (%): 104
   - Peak force (kg/kg): .49
 - Eccentric hamstring (break test), prone:
   - Right vs. left LSI (%): 104%
   - Peak force (kg/kg): .47
 - Concentric hamstring, 60 d/sec:
   - Right vs. left LSI (%): 100%
   - Peak torque to bodyweight (Nm/kg or %BW): 1.76 or 59%
 - Eccentric hamstring, 60 d/sec:
   - Right vs. left LSI (%): 99%
   - Peak torque to bodyweight (Nm/kg or %BW): 2.54 or 85%
Larson et al, 2022 assessed hamstring strength measures by HHD reliability, and provided norms for 20 healthy recreationally active individuals (11 males, 9 females) in various positions:
- Seated, make test, device fixated against tabe leg, 5 cm above malleoli
   - Dominant vs. non-dominant LSI (%): 108-118 (SEM = up to 15%)
   - Dominant leg peak torque(Nm/kg or /%BW): 1.10±..15 or 37%±5%
   - Non-dominant leg peak torque(Nm/kg or %BW): 1.01±..47 or 34%±16%
- Prone, make test, no fixation, device 5 cm above malleoli
   - Dominant vs. Non-dominant LSI (%): 94-109% (SEM = up to 14%)
   - Dominant leg peak torque(Nm/kg or %BW): .89±..29 or 30%±9.7%
   - Non-dominant leg peak torque(Nm/kg or %BW): .90±..34 or 30%±11.3%</v>
      </c>
      <c r="Q3" s="447"/>
      <c r="R3" s="447"/>
      <c r="S3" s="447"/>
      <c r="T3" s="447"/>
      <c r="U3" s="447"/>
      <c r="V3" s="447"/>
      <c r="W3" s="447"/>
      <c r="X3" s="447"/>
      <c r="Y3" s="447"/>
      <c r="Z3" s="448"/>
    </row>
    <row r="4" spans="1:26" ht="12.75" customHeight="1">
      <c r="A4" s="424" t="s">
        <v>17</v>
      </c>
      <c r="B4" s="347" t="s">
        <v>18</v>
      </c>
      <c r="C4" s="347"/>
      <c r="D4" s="347"/>
      <c r="E4" s="347"/>
      <c r="F4" s="347"/>
      <c r="G4" s="347"/>
      <c r="H4" s="381" t="s">
        <v>19</v>
      </c>
      <c r="I4" s="381"/>
      <c r="J4" s="381"/>
      <c r="K4" s="381"/>
      <c r="L4" s="372" t="s">
        <v>20</v>
      </c>
      <c r="M4" s="373"/>
      <c r="N4" s="373"/>
      <c r="O4" s="374"/>
      <c r="P4" s="449"/>
      <c r="Q4" s="450"/>
      <c r="R4" s="450"/>
      <c r="S4" s="450"/>
      <c r="T4" s="450"/>
      <c r="U4" s="450"/>
      <c r="V4" s="450"/>
      <c r="W4" s="450"/>
      <c r="X4" s="450"/>
      <c r="Y4" s="450"/>
      <c r="Z4" s="451"/>
    </row>
    <row r="5" spans="1:26" ht="12.75" customHeight="1">
      <c r="A5" s="424"/>
      <c r="B5" s="189" t="s">
        <v>21</v>
      </c>
      <c r="C5" s="345" t="s">
        <v>22</v>
      </c>
      <c r="D5" s="346"/>
      <c r="E5" s="189" t="s">
        <v>23</v>
      </c>
      <c r="F5" s="345" t="s">
        <v>22</v>
      </c>
      <c r="G5" s="346"/>
      <c r="H5" s="348" t="s">
        <v>24</v>
      </c>
      <c r="I5" s="348"/>
      <c r="J5" s="349" t="s">
        <v>22</v>
      </c>
      <c r="K5" s="349"/>
      <c r="L5" s="375"/>
      <c r="M5" s="376"/>
      <c r="N5" s="376"/>
      <c r="O5" s="377"/>
      <c r="P5" s="449"/>
      <c r="Q5" s="450"/>
      <c r="R5" s="450"/>
      <c r="S5" s="450"/>
      <c r="T5" s="450"/>
      <c r="U5" s="450"/>
      <c r="V5" s="450"/>
      <c r="W5" s="450"/>
      <c r="X5" s="450"/>
      <c r="Y5" s="450"/>
      <c r="Z5" s="451"/>
    </row>
    <row r="6" spans="1:26" ht="12.75" customHeight="1">
      <c r="A6" s="424"/>
      <c r="B6" s="189" t="s">
        <v>25</v>
      </c>
      <c r="C6" s="345" t="s">
        <v>22</v>
      </c>
      <c r="D6" s="346"/>
      <c r="E6" s="189" t="s">
        <v>26</v>
      </c>
      <c r="F6" s="345" t="s">
        <v>22</v>
      </c>
      <c r="G6" s="346"/>
      <c r="H6" s="348" t="s">
        <v>27</v>
      </c>
      <c r="I6" s="348"/>
      <c r="J6" s="437">
        <f ca="1">TODAY()</f>
        <v>45600</v>
      </c>
      <c r="K6" s="437"/>
      <c r="L6" s="375"/>
      <c r="M6" s="376"/>
      <c r="N6" s="376"/>
      <c r="O6" s="377"/>
      <c r="P6" s="449"/>
      <c r="Q6" s="450"/>
      <c r="R6" s="450"/>
      <c r="S6" s="450"/>
      <c r="T6" s="450"/>
      <c r="U6" s="450"/>
      <c r="V6" s="450"/>
      <c r="W6" s="450"/>
      <c r="X6" s="450"/>
      <c r="Y6" s="450"/>
      <c r="Z6" s="451"/>
    </row>
    <row r="7" spans="1:26" ht="12.75" customHeight="1">
      <c r="A7" s="424"/>
      <c r="B7" s="189" t="s">
        <v>28</v>
      </c>
      <c r="C7" s="345" t="s">
        <v>22</v>
      </c>
      <c r="D7" s="346"/>
      <c r="E7" s="332"/>
      <c r="F7" s="333"/>
      <c r="G7" s="334"/>
      <c r="H7" s="348" t="s">
        <v>29</v>
      </c>
      <c r="I7" s="348"/>
      <c r="J7" s="390" t="str">
        <f ca="1">IFERROR(TODAY()-J5,"N/A")</f>
        <v>N/A</v>
      </c>
      <c r="K7" s="390"/>
      <c r="L7" s="375"/>
      <c r="M7" s="376"/>
      <c r="N7" s="376"/>
      <c r="O7" s="377"/>
      <c r="P7" s="449"/>
      <c r="Q7" s="450"/>
      <c r="R7" s="450"/>
      <c r="S7" s="450"/>
      <c r="T7" s="450"/>
      <c r="U7" s="450"/>
      <c r="V7" s="450"/>
      <c r="W7" s="450"/>
      <c r="X7" s="450"/>
      <c r="Y7" s="450"/>
      <c r="Z7" s="451"/>
    </row>
    <row r="8" spans="1:26" ht="12.75" customHeight="1">
      <c r="A8" s="424"/>
      <c r="B8" s="189" t="s">
        <v>30</v>
      </c>
      <c r="C8" s="345" t="s">
        <v>22</v>
      </c>
      <c r="D8" s="346"/>
      <c r="E8" s="335"/>
      <c r="F8" s="336"/>
      <c r="G8" s="337"/>
      <c r="H8" s="348" t="s">
        <v>31</v>
      </c>
      <c r="I8" s="348"/>
      <c r="J8" s="391" t="str">
        <f ca="1">IFERROR(J7/7, "N/A")</f>
        <v>N/A</v>
      </c>
      <c r="K8" s="391"/>
      <c r="L8" s="375"/>
      <c r="M8" s="376"/>
      <c r="N8" s="376"/>
      <c r="O8" s="377"/>
      <c r="P8" s="449"/>
      <c r="Q8" s="450"/>
      <c r="R8" s="450"/>
      <c r="S8" s="450"/>
      <c r="T8" s="450"/>
      <c r="U8" s="450"/>
      <c r="V8" s="450"/>
      <c r="W8" s="450"/>
      <c r="X8" s="450"/>
      <c r="Y8" s="450"/>
      <c r="Z8" s="451"/>
    </row>
    <row r="9" spans="1:26" ht="13.5" customHeight="1">
      <c r="A9" s="424"/>
      <c r="B9" s="189" t="s">
        <v>32</v>
      </c>
      <c r="C9" s="345" t="s">
        <v>22</v>
      </c>
      <c r="D9" s="345"/>
      <c r="E9" s="345"/>
      <c r="F9" s="345"/>
      <c r="G9" s="345"/>
      <c r="H9" s="348" t="s">
        <v>33</v>
      </c>
      <c r="I9" s="348"/>
      <c r="J9" s="391" t="str">
        <f ca="1">IFERROR(J8/4.34, "N/A")</f>
        <v>N/A</v>
      </c>
      <c r="K9" s="391"/>
      <c r="L9" s="378"/>
      <c r="M9" s="379"/>
      <c r="N9" s="379"/>
      <c r="O9" s="380"/>
      <c r="P9" s="449"/>
      <c r="Q9" s="450"/>
      <c r="R9" s="450"/>
      <c r="S9" s="450"/>
      <c r="T9" s="450"/>
      <c r="U9" s="450"/>
      <c r="V9" s="450"/>
      <c r="W9" s="450"/>
      <c r="X9" s="450"/>
      <c r="Y9" s="450"/>
      <c r="Z9" s="451"/>
    </row>
    <row r="10" spans="1:26" ht="52.5" customHeight="1">
      <c r="A10" s="96"/>
      <c r="B10" s="386" t="s">
        <v>34</v>
      </c>
      <c r="C10" s="387"/>
      <c r="D10" s="387"/>
      <c r="E10" s="387"/>
      <c r="F10" s="387"/>
      <c r="G10" s="387"/>
      <c r="H10" s="387"/>
      <c r="I10" s="387"/>
      <c r="J10" s="387"/>
      <c r="K10" s="387"/>
      <c r="L10" s="388"/>
      <c r="M10" s="388"/>
      <c r="N10" s="388"/>
      <c r="O10" s="389"/>
      <c r="P10" s="449"/>
      <c r="Q10" s="450"/>
      <c r="R10" s="450"/>
      <c r="S10" s="450"/>
      <c r="T10" s="450"/>
      <c r="U10" s="450"/>
      <c r="V10" s="450"/>
      <c r="W10" s="450"/>
      <c r="X10" s="450"/>
      <c r="Y10" s="450"/>
      <c r="Z10" s="451"/>
    </row>
    <row r="11" spans="1:26" ht="12.75" customHeight="1">
      <c r="A11" s="329" t="s">
        <v>35</v>
      </c>
      <c r="B11" s="353" t="s">
        <v>36</v>
      </c>
      <c r="C11" s="354"/>
      <c r="D11" s="354"/>
      <c r="E11" s="355"/>
      <c r="F11" s="353"/>
      <c r="G11" s="382"/>
      <c r="H11" s="241" t="s">
        <v>37</v>
      </c>
      <c r="I11" s="241" t="s">
        <v>38</v>
      </c>
      <c r="J11" s="194" t="s">
        <v>39</v>
      </c>
      <c r="K11" s="325" t="s">
        <v>40</v>
      </c>
      <c r="L11" s="359" t="s">
        <v>41</v>
      </c>
      <c r="M11" s="359"/>
      <c r="N11" s="359"/>
      <c r="O11" s="359"/>
      <c r="P11" s="449"/>
      <c r="Q11" s="450"/>
      <c r="R11" s="450"/>
      <c r="S11" s="450"/>
      <c r="T11" s="450"/>
      <c r="U11" s="450"/>
      <c r="V11" s="450"/>
      <c r="W11" s="450"/>
      <c r="X11" s="450"/>
      <c r="Y11" s="450"/>
      <c r="Z11" s="451"/>
    </row>
    <row r="12" spans="1:26" ht="13.5" customHeight="1">
      <c r="A12" s="330"/>
      <c r="B12" s="190"/>
      <c r="C12" s="191" t="s">
        <v>42</v>
      </c>
      <c r="D12" s="191" t="s">
        <v>43</v>
      </c>
      <c r="E12" s="192" t="s">
        <v>44</v>
      </c>
      <c r="F12" s="383" t="s">
        <v>45</v>
      </c>
      <c r="G12" s="361"/>
      <c r="H12" s="93">
        <f>IFERROR(AVERAGE($C$13:$E$13),0)</f>
        <v>0</v>
      </c>
      <c r="I12" s="93">
        <f>IFERROR(AVERAGE($C$14:$E$14),0)</f>
        <v>0</v>
      </c>
      <c r="J12" s="155" t="str">
        <f>IFERROR(H12/I12,"N/A")</f>
        <v>N/A</v>
      </c>
      <c r="K12" s="326"/>
      <c r="L12" s="350"/>
      <c r="M12" s="351"/>
      <c r="N12" s="351"/>
      <c r="O12" s="352"/>
      <c r="P12" s="449"/>
      <c r="Q12" s="450"/>
      <c r="R12" s="450"/>
      <c r="S12" s="450"/>
      <c r="T12" s="450"/>
      <c r="U12" s="450"/>
      <c r="V12" s="450"/>
      <c r="W12" s="450"/>
      <c r="X12" s="450"/>
      <c r="Y12" s="450"/>
      <c r="Z12" s="451"/>
    </row>
    <row r="13" spans="1:26" ht="12.75" customHeight="1">
      <c r="A13" s="330"/>
      <c r="B13" s="190" t="s">
        <v>46</v>
      </c>
      <c r="C13" s="92"/>
      <c r="D13" s="92"/>
      <c r="E13" s="108"/>
      <c r="F13" s="383" t="s">
        <v>47</v>
      </c>
      <c r="G13" s="361"/>
      <c r="H13" s="93">
        <f>IFERROR(AVERAGE($C$15:$E$15),0)</f>
        <v>0</v>
      </c>
      <c r="I13" s="93">
        <f>IFERROR(AVERAGE($C$16:$E$16),0)</f>
        <v>0</v>
      </c>
      <c r="J13" s="155" t="str">
        <f>IFERROR(H13/I13,"N/A")</f>
        <v>N/A</v>
      </c>
      <c r="K13" s="326"/>
      <c r="L13" s="215" t="s">
        <v>48</v>
      </c>
      <c r="M13" s="245"/>
      <c r="N13" s="246"/>
      <c r="O13" s="247"/>
      <c r="P13" s="449"/>
      <c r="Q13" s="450"/>
      <c r="R13" s="450"/>
      <c r="S13" s="450"/>
      <c r="T13" s="450"/>
      <c r="U13" s="450"/>
      <c r="V13" s="450"/>
      <c r="W13" s="450"/>
      <c r="X13" s="450"/>
      <c r="Y13" s="450"/>
      <c r="Z13" s="451"/>
    </row>
    <row r="14" spans="1:26" ht="12.75" customHeight="1">
      <c r="A14" s="330"/>
      <c r="B14" s="190" t="s">
        <v>49</v>
      </c>
      <c r="C14" s="92"/>
      <c r="D14" s="92"/>
      <c r="E14" s="108"/>
      <c r="F14" s="383" t="s">
        <v>50</v>
      </c>
      <c r="G14" s="361"/>
      <c r="H14" s="93">
        <f>IFERROR(AVERAGE($C$17:$E$17),0)</f>
        <v>0</v>
      </c>
      <c r="I14" s="93">
        <f>IFERROR(AVERAGE($C$18:$E$18),0)</f>
        <v>0</v>
      </c>
      <c r="J14" s="155" t="str">
        <f>IFERROR(H14/I14,"N/A")</f>
        <v>N/A</v>
      </c>
      <c r="K14" s="326"/>
      <c r="L14" s="215" t="s">
        <v>51</v>
      </c>
      <c r="M14" s="44"/>
      <c r="N14" s="43"/>
      <c r="O14" s="144"/>
      <c r="P14" s="449"/>
      <c r="Q14" s="450"/>
      <c r="R14" s="450"/>
      <c r="S14" s="450"/>
      <c r="T14" s="450"/>
      <c r="U14" s="450"/>
      <c r="V14" s="450"/>
      <c r="W14" s="450"/>
      <c r="X14" s="450"/>
      <c r="Y14" s="450"/>
      <c r="Z14" s="451"/>
    </row>
    <row r="15" spans="1:26" ht="12.75" customHeight="1">
      <c r="A15" s="330"/>
      <c r="B15" s="190" t="s">
        <v>52</v>
      </c>
      <c r="C15" s="92"/>
      <c r="D15" s="92"/>
      <c r="E15" s="108"/>
      <c r="F15" s="383" t="s">
        <v>53</v>
      </c>
      <c r="G15" s="361"/>
      <c r="H15" s="166" t="str">
        <f>IFERROR(($H$13/$H$14)*100,"N/A")</f>
        <v>N/A</v>
      </c>
      <c r="I15" s="166" t="str">
        <f>IFERROR(($I$13/$I$14)*100,"N/A")</f>
        <v>N/A</v>
      </c>
      <c r="J15" s="362"/>
      <c r="K15" s="326"/>
      <c r="L15" s="215" t="s">
        <v>54</v>
      </c>
      <c r="M15" s="20" t="str">
        <f>IFERROR((AVERAGE(M13:O13)/AVERAGE(M14:O14)),"N/A")</f>
        <v>N/A</v>
      </c>
      <c r="N15" s="216" t="s">
        <v>55</v>
      </c>
      <c r="O15" s="145" t="str">
        <f>IFERROR((MAX(M13:O13)/MAX(M14:O14)),"N/A")</f>
        <v>N/A</v>
      </c>
      <c r="P15" s="449"/>
      <c r="Q15" s="450"/>
      <c r="R15" s="450"/>
      <c r="S15" s="450"/>
      <c r="T15" s="450"/>
      <c r="U15" s="450"/>
      <c r="V15" s="450"/>
      <c r="W15" s="450"/>
      <c r="X15" s="450"/>
      <c r="Y15" s="450"/>
      <c r="Z15" s="451"/>
    </row>
    <row r="16" spans="1:26" ht="12.75" customHeight="1">
      <c r="A16" s="330"/>
      <c r="B16" s="190" t="s">
        <v>56</v>
      </c>
      <c r="C16" s="92"/>
      <c r="D16" s="92"/>
      <c r="E16" s="108"/>
      <c r="F16" s="383" t="s">
        <v>57</v>
      </c>
      <c r="G16" s="361"/>
      <c r="H16" s="254" t="str">
        <f>IFERROR((AVERAGE(C15:E15)/H18), "N/A")</f>
        <v>N/A</v>
      </c>
      <c r="I16" s="254" t="str">
        <f>IFERROR((AVERAGE(C16:E16)/H18), "N/A")</f>
        <v>N/A</v>
      </c>
      <c r="J16" s="363"/>
      <c r="K16" s="326"/>
      <c r="L16" s="365" t="s">
        <v>58</v>
      </c>
      <c r="M16" s="366"/>
      <c r="N16" s="366"/>
      <c r="O16" s="366"/>
      <c r="P16" s="449"/>
      <c r="Q16" s="450"/>
      <c r="R16" s="450"/>
      <c r="S16" s="450"/>
      <c r="T16" s="450"/>
      <c r="U16" s="450"/>
      <c r="V16" s="450"/>
      <c r="W16" s="450"/>
      <c r="X16" s="450"/>
      <c r="Y16" s="450"/>
      <c r="Z16" s="451"/>
    </row>
    <row r="17" spans="1:26" ht="12.75" customHeight="1">
      <c r="A17" s="330"/>
      <c r="B17" s="190" t="s">
        <v>59</v>
      </c>
      <c r="C17" s="92"/>
      <c r="D17" s="92"/>
      <c r="E17" s="108"/>
      <c r="F17" s="383" t="s">
        <v>60</v>
      </c>
      <c r="G17" s="361"/>
      <c r="H17" s="254" t="str">
        <f>IFERROR((AVERAGE(C17:E17)/H18), "N/A")</f>
        <v>N/A</v>
      </c>
      <c r="I17" s="254" t="str">
        <f>IFERROR((AVERAGE(C18:E18)/H18), "N/A")</f>
        <v>N/A</v>
      </c>
      <c r="J17" s="467"/>
      <c r="K17" s="326"/>
      <c r="L17" s="367"/>
      <c r="M17" s="367"/>
      <c r="N17" s="367"/>
      <c r="O17" s="367"/>
      <c r="P17" s="449"/>
      <c r="Q17" s="450"/>
      <c r="R17" s="450"/>
      <c r="S17" s="450"/>
      <c r="T17" s="450"/>
      <c r="U17" s="450"/>
      <c r="V17" s="450"/>
      <c r="W17" s="450"/>
      <c r="X17" s="450"/>
      <c r="Y17" s="450"/>
      <c r="Z17" s="451"/>
    </row>
    <row r="18" spans="1:26" ht="13.5" customHeight="1">
      <c r="A18" s="331"/>
      <c r="B18" s="193" t="s">
        <v>61</v>
      </c>
      <c r="C18" s="109"/>
      <c r="D18" s="109"/>
      <c r="E18" s="110"/>
      <c r="F18" s="414" t="s">
        <v>62</v>
      </c>
      <c r="G18" s="416"/>
      <c r="H18" s="468"/>
      <c r="I18" s="469"/>
      <c r="J18" s="470"/>
      <c r="K18" s="326"/>
      <c r="L18" s="368"/>
      <c r="M18" s="368"/>
      <c r="N18" s="368"/>
      <c r="O18" s="368"/>
      <c r="P18" s="449"/>
      <c r="Q18" s="450"/>
      <c r="R18" s="450"/>
      <c r="S18" s="450"/>
      <c r="T18" s="450"/>
      <c r="U18" s="450"/>
      <c r="V18" s="450"/>
      <c r="W18" s="450"/>
      <c r="X18" s="450"/>
      <c r="Y18" s="450"/>
      <c r="Z18" s="451"/>
    </row>
    <row r="19" spans="1:26" ht="14.25" customHeight="1">
      <c r="A19" s="102"/>
      <c r="B19" s="106"/>
      <c r="C19" s="60"/>
      <c r="D19" s="60"/>
      <c r="E19" s="60"/>
      <c r="F19" s="5"/>
      <c r="G19" s="5"/>
      <c r="H19" s="5"/>
      <c r="I19" s="5"/>
      <c r="J19" s="5"/>
      <c r="K19" s="326"/>
      <c r="L19" s="368"/>
      <c r="M19" s="368"/>
      <c r="N19" s="368"/>
      <c r="O19" s="368"/>
      <c r="P19" s="449"/>
      <c r="Q19" s="450"/>
      <c r="R19" s="450"/>
      <c r="S19" s="450"/>
      <c r="T19" s="450"/>
      <c r="U19" s="450"/>
      <c r="V19" s="450"/>
      <c r="W19" s="450"/>
      <c r="X19" s="450"/>
      <c r="Y19" s="450"/>
      <c r="Z19" s="451"/>
    </row>
    <row r="20" spans="1:26" ht="15.75" customHeight="1">
      <c r="A20" s="101"/>
      <c r="B20" s="105"/>
      <c r="C20" s="61"/>
      <c r="D20" s="61"/>
      <c r="E20" s="61"/>
      <c r="F20" s="62"/>
      <c r="G20" s="62"/>
      <c r="H20" s="62"/>
      <c r="I20" s="62"/>
      <c r="J20" s="62"/>
      <c r="K20" s="326"/>
      <c r="L20" s="368"/>
      <c r="M20" s="368"/>
      <c r="N20" s="368"/>
      <c r="O20" s="368"/>
      <c r="P20" s="449"/>
      <c r="Q20" s="450"/>
      <c r="R20" s="450"/>
      <c r="S20" s="450"/>
      <c r="T20" s="450"/>
      <c r="U20" s="450"/>
      <c r="V20" s="450"/>
      <c r="W20" s="450"/>
      <c r="X20" s="450"/>
      <c r="Y20" s="450"/>
      <c r="Z20" s="451"/>
    </row>
    <row r="21" spans="1:26" ht="12.75" customHeight="1">
      <c r="A21" s="425" t="s">
        <v>63</v>
      </c>
      <c r="B21" s="356" t="s">
        <v>64</v>
      </c>
      <c r="C21" s="357"/>
      <c r="D21" s="357"/>
      <c r="E21" s="358"/>
      <c r="F21" s="384"/>
      <c r="G21" s="385"/>
      <c r="H21" s="197" t="s">
        <v>37</v>
      </c>
      <c r="I21" s="197" t="s">
        <v>38</v>
      </c>
      <c r="J21" s="198" t="s">
        <v>39</v>
      </c>
      <c r="K21" s="327"/>
      <c r="L21" s="368"/>
      <c r="M21" s="368"/>
      <c r="N21" s="368"/>
      <c r="O21" s="368"/>
      <c r="P21" s="449"/>
      <c r="Q21" s="450"/>
      <c r="R21" s="450"/>
      <c r="S21" s="450"/>
      <c r="T21" s="450"/>
      <c r="U21" s="450"/>
      <c r="V21" s="450"/>
      <c r="W21" s="450"/>
      <c r="X21" s="450"/>
      <c r="Y21" s="450"/>
      <c r="Z21" s="451"/>
    </row>
    <row r="22" spans="1:26" ht="12.75" customHeight="1">
      <c r="A22" s="426"/>
      <c r="B22" s="195"/>
      <c r="C22" s="191" t="s">
        <v>42</v>
      </c>
      <c r="D22" s="191" t="s">
        <v>43</v>
      </c>
      <c r="E22" s="196" t="s">
        <v>44</v>
      </c>
      <c r="F22" s="360" t="s">
        <v>65</v>
      </c>
      <c r="G22" s="361"/>
      <c r="H22" s="93">
        <f>IFERROR(AVERAGE($C$23:$E$23),0)</f>
        <v>0</v>
      </c>
      <c r="I22" s="93">
        <f>IFERROR(AVERAGE($C$24:$E$24),0)</f>
        <v>0</v>
      </c>
      <c r="J22" s="174" t="str">
        <f>IFERROR(H22/I22,"N/A")</f>
        <v>N/A</v>
      </c>
      <c r="K22" s="327"/>
      <c r="L22" s="368"/>
      <c r="M22" s="368"/>
      <c r="N22" s="368"/>
      <c r="O22" s="368"/>
      <c r="P22" s="449"/>
      <c r="Q22" s="450"/>
      <c r="R22" s="450"/>
      <c r="S22" s="450"/>
      <c r="T22" s="450"/>
      <c r="U22" s="450"/>
      <c r="V22" s="450"/>
      <c r="W22" s="450"/>
      <c r="X22" s="450"/>
      <c r="Y22" s="450"/>
      <c r="Z22" s="451"/>
    </row>
    <row r="23" spans="1:26" ht="13.5" customHeight="1">
      <c r="A23" s="426"/>
      <c r="B23" s="195" t="s">
        <v>66</v>
      </c>
      <c r="C23" s="116"/>
      <c r="D23" s="117"/>
      <c r="E23" s="183"/>
      <c r="F23" s="360" t="s">
        <v>67</v>
      </c>
      <c r="G23" s="361"/>
      <c r="H23" s="93">
        <f>IFERROR(AVERAGE($C$25:$E$25),0)</f>
        <v>0</v>
      </c>
      <c r="I23" s="93">
        <f>IFERROR(AVERAGE($C$26:$E$26),0)</f>
        <v>0</v>
      </c>
      <c r="J23" s="174" t="str">
        <f>IFERROR(H23/I23,"N/A")</f>
        <v>N/A</v>
      </c>
      <c r="K23" s="327"/>
      <c r="L23" s="369"/>
      <c r="M23" s="369"/>
      <c r="N23" s="369"/>
      <c r="O23" s="369"/>
      <c r="P23" s="449"/>
      <c r="Q23" s="450"/>
      <c r="R23" s="450"/>
      <c r="S23" s="450"/>
      <c r="T23" s="450"/>
      <c r="U23" s="450"/>
      <c r="V23" s="450"/>
      <c r="W23" s="450"/>
      <c r="X23" s="450"/>
      <c r="Y23" s="450"/>
      <c r="Z23" s="451"/>
    </row>
    <row r="24" spans="1:26" ht="12.75" customHeight="1">
      <c r="A24" s="426"/>
      <c r="B24" s="195" t="s">
        <v>68</v>
      </c>
      <c r="C24" s="115"/>
      <c r="D24" s="42"/>
      <c r="E24" s="184"/>
      <c r="F24" s="360" t="s">
        <v>69</v>
      </c>
      <c r="G24" s="361"/>
      <c r="H24" s="93">
        <f>IFERROR(AVERAGE($C$27:$E$27),0)</f>
        <v>0</v>
      </c>
      <c r="I24" s="93">
        <f>IFERROR(AVERAGE($C$28:$E$28),0)</f>
        <v>0</v>
      </c>
      <c r="J24" s="174" t="str">
        <f>IFERROR(H24/I24,"N/A")</f>
        <v>N/A</v>
      </c>
      <c r="K24" s="327"/>
      <c r="L24" s="111"/>
      <c r="M24" s="102"/>
      <c r="N24" s="102"/>
      <c r="O24" s="146"/>
      <c r="P24" s="449"/>
      <c r="Q24" s="450"/>
      <c r="R24" s="450"/>
      <c r="S24" s="450"/>
      <c r="T24" s="450"/>
      <c r="U24" s="450"/>
      <c r="V24" s="450"/>
      <c r="W24" s="450"/>
      <c r="X24" s="450"/>
      <c r="Y24" s="450"/>
      <c r="Z24" s="451"/>
    </row>
    <row r="25" spans="1:26" ht="13.5" customHeight="1">
      <c r="A25" s="426"/>
      <c r="B25" s="195" t="s">
        <v>70</v>
      </c>
      <c r="C25" s="115"/>
      <c r="D25" s="42"/>
      <c r="E25" s="184"/>
      <c r="F25" s="360" t="s">
        <v>71</v>
      </c>
      <c r="G25" s="361"/>
      <c r="H25" s="93">
        <f>IFERROR(AVERAGE($C$29:$E$29),0)</f>
        <v>0</v>
      </c>
      <c r="I25" s="93">
        <f>IFERROR(AVERAGE($C$30:$E$30),0)</f>
        <v>0</v>
      </c>
      <c r="J25" s="174" t="str">
        <f>IFERROR(H25/I25,"N/A")</f>
        <v>N/A</v>
      </c>
      <c r="K25" s="327"/>
      <c r="L25" s="112"/>
      <c r="M25" s="101"/>
      <c r="N25" s="101"/>
      <c r="O25" s="131"/>
      <c r="P25" s="449"/>
      <c r="Q25" s="450"/>
      <c r="R25" s="450"/>
      <c r="S25" s="450"/>
      <c r="T25" s="450"/>
      <c r="U25" s="450"/>
      <c r="V25" s="450"/>
      <c r="W25" s="450"/>
      <c r="X25" s="450"/>
      <c r="Y25" s="450"/>
      <c r="Z25" s="451"/>
    </row>
    <row r="26" spans="1:26" ht="12.75" customHeight="1">
      <c r="A26" s="426"/>
      <c r="B26" s="195" t="s">
        <v>72</v>
      </c>
      <c r="C26" s="115"/>
      <c r="D26" s="42"/>
      <c r="E26" s="184"/>
      <c r="F26" s="431" t="s">
        <v>73</v>
      </c>
      <c r="G26" s="348"/>
      <c r="H26" s="93">
        <f>IFERROR(AVERAGE($C$31:$E$31),0)</f>
        <v>0</v>
      </c>
      <c r="I26" s="93">
        <f>IFERROR(AVERAGE(C32:E32),0)</f>
        <v>0</v>
      </c>
      <c r="J26" s="174" t="str">
        <f>IFERROR(H26/I26,"N/A")</f>
        <v>N/A</v>
      </c>
      <c r="K26" s="327"/>
      <c r="L26" s="359" t="s">
        <v>74</v>
      </c>
      <c r="M26" s="359"/>
      <c r="N26" s="359"/>
      <c r="O26" s="359"/>
      <c r="P26" s="449"/>
      <c r="Q26" s="450"/>
      <c r="R26" s="450"/>
      <c r="S26" s="450"/>
      <c r="T26" s="450"/>
      <c r="U26" s="450"/>
      <c r="V26" s="450"/>
      <c r="W26" s="450"/>
      <c r="X26" s="450"/>
      <c r="Y26" s="450"/>
      <c r="Z26" s="451"/>
    </row>
    <row r="27" spans="1:26" ht="12.75" customHeight="1">
      <c r="A27" s="426"/>
      <c r="B27" s="195" t="s">
        <v>52</v>
      </c>
      <c r="C27" s="115"/>
      <c r="D27" s="42"/>
      <c r="E27" s="184"/>
      <c r="F27" s="360" t="s">
        <v>75</v>
      </c>
      <c r="G27" s="361"/>
      <c r="H27" s="94">
        <f>IFERROR((H23/H22)*100,0)</f>
        <v>0</v>
      </c>
      <c r="I27" s="94">
        <f>IFERROR((I23/I22)*100,0)</f>
        <v>0</v>
      </c>
      <c r="J27" s="175" t="s">
        <v>22</v>
      </c>
      <c r="K27" s="327"/>
      <c r="L27" s="350"/>
      <c r="M27" s="351"/>
      <c r="N27" s="351"/>
      <c r="O27" s="352"/>
      <c r="P27" s="449"/>
      <c r="Q27" s="450"/>
      <c r="R27" s="450"/>
      <c r="S27" s="450"/>
      <c r="T27" s="450"/>
      <c r="U27" s="450"/>
      <c r="V27" s="450"/>
      <c r="W27" s="450"/>
      <c r="X27" s="450"/>
      <c r="Y27" s="450"/>
      <c r="Z27" s="451"/>
    </row>
    <row r="28" spans="1:26" ht="15.75" customHeight="1">
      <c r="A28" s="426"/>
      <c r="B28" s="195" t="s">
        <v>56</v>
      </c>
      <c r="C28" s="115"/>
      <c r="D28" s="42"/>
      <c r="E28" s="184"/>
      <c r="F28" s="413" t="s">
        <v>76</v>
      </c>
      <c r="G28" s="360"/>
      <c r="H28" s="220"/>
      <c r="I28" s="191" t="s">
        <v>62</v>
      </c>
      <c r="J28" s="176"/>
      <c r="K28" s="327"/>
      <c r="L28" s="215" t="s">
        <v>48</v>
      </c>
      <c r="M28" s="245"/>
      <c r="N28" s="246"/>
      <c r="O28" s="247"/>
      <c r="P28" s="449"/>
      <c r="Q28" s="450"/>
      <c r="R28" s="450"/>
      <c r="S28" s="450"/>
      <c r="T28" s="450"/>
      <c r="U28" s="450"/>
      <c r="V28" s="450"/>
      <c r="W28" s="450"/>
      <c r="X28" s="450"/>
      <c r="Y28" s="450"/>
      <c r="Z28" s="451"/>
    </row>
    <row r="29" spans="1:26" ht="14.25" customHeight="1">
      <c r="A29" s="426"/>
      <c r="B29" s="201" t="s">
        <v>59</v>
      </c>
      <c r="C29" s="180"/>
      <c r="D29" s="181"/>
      <c r="E29" s="185"/>
      <c r="F29" s="199" t="s">
        <v>77</v>
      </c>
      <c r="G29" s="200"/>
      <c r="H29" s="156" t="str">
        <f>IFERROR((Reference!AD12/Reference!AD14),"N/A")</f>
        <v>N/A</v>
      </c>
      <c r="I29" s="156" t="str">
        <f>IFERROR(Reference!AD13/Reference!AD14,"N/A")</f>
        <v>N/A</v>
      </c>
      <c r="J29" s="472" t="s">
        <v>78</v>
      </c>
      <c r="K29" s="327"/>
      <c r="L29" s="215" t="s">
        <v>51</v>
      </c>
      <c r="M29" s="44"/>
      <c r="N29" s="43"/>
      <c r="O29" s="144"/>
      <c r="P29" s="449"/>
      <c r="Q29" s="450"/>
      <c r="R29" s="450"/>
      <c r="S29" s="450"/>
      <c r="T29" s="450"/>
      <c r="U29" s="450"/>
      <c r="V29" s="450"/>
      <c r="W29" s="450"/>
      <c r="X29" s="450"/>
      <c r="Y29" s="450"/>
      <c r="Z29" s="451"/>
    </row>
    <row r="30" spans="1:26" ht="15.75" customHeight="1">
      <c r="A30" s="426"/>
      <c r="B30" s="202" t="s">
        <v>61</v>
      </c>
      <c r="C30" s="182"/>
      <c r="D30" s="182"/>
      <c r="E30" s="186"/>
      <c r="F30" s="396" t="s">
        <v>79</v>
      </c>
      <c r="G30" s="397"/>
      <c r="H30" s="179" t="str">
        <f>IFERROR((Reference!AD21/Reference!AD23),"N/A")</f>
        <v>N/A</v>
      </c>
      <c r="I30" s="156" t="str">
        <f>IFERROR(Reference!AD22/Reference!AD23,"N/A")</f>
        <v>N/A</v>
      </c>
      <c r="J30" s="473"/>
      <c r="K30" s="327"/>
      <c r="L30" s="215" t="s">
        <v>54</v>
      </c>
      <c r="M30" s="20" t="str">
        <f>IFERROR((AVERAGE(M28:O28)/AVERAGE(M29:O29)),"N/A")</f>
        <v>N/A</v>
      </c>
      <c r="N30" s="216" t="s">
        <v>55</v>
      </c>
      <c r="O30" s="145" t="str">
        <f>IFERROR((MAX(M28:O28)/MAX(M29:O29)),"N/A")</f>
        <v>N/A</v>
      </c>
      <c r="P30" s="449"/>
      <c r="Q30" s="450"/>
      <c r="R30" s="450"/>
      <c r="S30" s="450"/>
      <c r="T30" s="450"/>
      <c r="U30" s="450"/>
      <c r="V30" s="450"/>
      <c r="W30" s="450"/>
      <c r="X30" s="450"/>
      <c r="Y30" s="450"/>
      <c r="Z30" s="451"/>
    </row>
    <row r="31" spans="1:26" ht="13.5" customHeight="1">
      <c r="A31" s="426"/>
      <c r="B31" s="202" t="s">
        <v>80</v>
      </c>
      <c r="C31" s="182"/>
      <c r="D31" s="182"/>
      <c r="E31" s="186"/>
      <c r="F31" s="396" t="s">
        <v>81</v>
      </c>
      <c r="G31" s="397"/>
      <c r="H31" s="179" t="str">
        <f>IFERROR(Reference!AF12,"N/A")</f>
        <v>N/A</v>
      </c>
      <c r="I31" s="156" t="str">
        <f>IFERROR(Reference!AF13,"N/A")</f>
        <v>N/A</v>
      </c>
      <c r="J31" s="473"/>
      <c r="K31" s="327"/>
      <c r="L31" s="365" t="s">
        <v>58</v>
      </c>
      <c r="M31" s="366"/>
      <c r="N31" s="366"/>
      <c r="O31" s="366"/>
      <c r="P31" s="449"/>
      <c r="Q31" s="450"/>
      <c r="R31" s="450"/>
      <c r="S31" s="450"/>
      <c r="T31" s="450"/>
      <c r="U31" s="450"/>
      <c r="V31" s="450"/>
      <c r="W31" s="450"/>
      <c r="X31" s="450"/>
      <c r="Y31" s="450"/>
      <c r="Z31" s="451"/>
    </row>
    <row r="32" spans="1:26" ht="13.5" customHeight="1">
      <c r="A32" s="427"/>
      <c r="B32" s="203" t="s">
        <v>82</v>
      </c>
      <c r="C32" s="187"/>
      <c r="D32" s="187"/>
      <c r="E32" s="188"/>
      <c r="F32" s="396" t="s">
        <v>83</v>
      </c>
      <c r="G32" s="397"/>
      <c r="H32" s="179" t="str">
        <f>IFERROR((Reference!AF17),"N/A")</f>
        <v>N/A</v>
      </c>
      <c r="I32" s="156" t="str">
        <f>IFERROR(Reference!AF18,"N/A")</f>
        <v>N/A</v>
      </c>
      <c r="J32" s="474"/>
      <c r="K32" s="327"/>
      <c r="L32" s="367"/>
      <c r="M32" s="367"/>
      <c r="N32" s="367"/>
      <c r="O32" s="367"/>
      <c r="P32" s="449"/>
      <c r="Q32" s="450"/>
      <c r="R32" s="450"/>
      <c r="S32" s="450"/>
      <c r="T32" s="450"/>
      <c r="U32" s="450"/>
      <c r="V32" s="450"/>
      <c r="W32" s="450"/>
      <c r="X32" s="450"/>
      <c r="Y32" s="450"/>
      <c r="Z32" s="451"/>
    </row>
    <row r="33" spans="1:26" ht="13.5" customHeight="1">
      <c r="A33" s="146"/>
      <c r="B33" s="463" t="s">
        <v>84</v>
      </c>
      <c r="C33" s="464"/>
      <c r="D33" s="464"/>
      <c r="E33" s="464"/>
      <c r="F33" s="465"/>
      <c r="G33" s="465"/>
      <c r="H33" s="221"/>
      <c r="I33" s="204" t="s">
        <v>85</v>
      </c>
      <c r="J33" s="177" t="str">
        <f>IFERROR(Reference!AF11,"N/A")</f>
        <v>N/A</v>
      </c>
      <c r="K33" s="327"/>
      <c r="L33" s="368"/>
      <c r="M33" s="368"/>
      <c r="N33" s="368"/>
      <c r="O33" s="368"/>
      <c r="P33" s="449"/>
      <c r="Q33" s="450"/>
      <c r="R33" s="450"/>
      <c r="S33" s="450"/>
      <c r="T33" s="450"/>
      <c r="U33" s="450"/>
      <c r="V33" s="450"/>
      <c r="W33" s="450"/>
      <c r="X33" s="450"/>
      <c r="Y33" s="450"/>
      <c r="Z33" s="451"/>
    </row>
    <row r="34" spans="1:26" ht="15.75" customHeight="1">
      <c r="A34" s="101"/>
      <c r="B34" s="103"/>
      <c r="C34" s="63"/>
      <c r="D34" s="168"/>
      <c r="E34" s="63"/>
      <c r="F34" s="5"/>
      <c r="G34" s="5"/>
      <c r="H34" s="5"/>
      <c r="I34" s="5"/>
      <c r="J34" s="5"/>
      <c r="K34" s="326"/>
      <c r="L34" s="368"/>
      <c r="M34" s="368"/>
      <c r="N34" s="368"/>
      <c r="O34" s="368"/>
      <c r="P34" s="449"/>
      <c r="Q34" s="450"/>
      <c r="R34" s="450"/>
      <c r="S34" s="450"/>
      <c r="T34" s="450"/>
      <c r="U34" s="450"/>
      <c r="V34" s="450"/>
      <c r="W34" s="450"/>
      <c r="X34" s="450"/>
      <c r="Y34" s="450"/>
      <c r="Z34" s="451"/>
    </row>
    <row r="35" spans="1:26" ht="15.75" customHeight="1">
      <c r="A35" s="329" t="s">
        <v>86</v>
      </c>
      <c r="B35" s="353" t="s">
        <v>87</v>
      </c>
      <c r="C35" s="354"/>
      <c r="D35" s="354"/>
      <c r="E35" s="355"/>
      <c r="F35" s="394"/>
      <c r="G35" s="395"/>
      <c r="H35" s="241" t="s">
        <v>37</v>
      </c>
      <c r="I35" s="241" t="s">
        <v>38</v>
      </c>
      <c r="J35" s="194" t="s">
        <v>39</v>
      </c>
      <c r="K35" s="326"/>
      <c r="L35" s="368"/>
      <c r="M35" s="368"/>
      <c r="N35" s="368"/>
      <c r="O35" s="368"/>
      <c r="P35" s="449"/>
      <c r="Q35" s="450"/>
      <c r="R35" s="450"/>
      <c r="S35" s="450"/>
      <c r="T35" s="450"/>
      <c r="U35" s="450"/>
      <c r="V35" s="450"/>
      <c r="W35" s="450"/>
      <c r="X35" s="450"/>
      <c r="Y35" s="450"/>
      <c r="Z35" s="451"/>
    </row>
    <row r="36" spans="1:26" ht="15.75" customHeight="1">
      <c r="A36" s="330"/>
      <c r="B36" s="190"/>
      <c r="C36" s="191" t="s">
        <v>42</v>
      </c>
      <c r="D36" s="191" t="s">
        <v>43</v>
      </c>
      <c r="E36" s="192" t="s">
        <v>44</v>
      </c>
      <c r="F36" s="383" t="s">
        <v>88</v>
      </c>
      <c r="G36" s="361"/>
      <c r="H36" s="91">
        <f>IFERROR(AVERAGE($C$37:$E$37),0)</f>
        <v>0</v>
      </c>
      <c r="I36" s="91">
        <f>IFERROR(AVERAGE($C$38:$E$38),0)</f>
        <v>0</v>
      </c>
      <c r="J36" s="154" t="str">
        <f>IFERROR(H36/I36,"N/A")</f>
        <v>N/A</v>
      </c>
      <c r="K36" s="326"/>
      <c r="L36" s="368"/>
      <c r="M36" s="368"/>
      <c r="N36" s="368"/>
      <c r="O36" s="368"/>
      <c r="P36" s="449"/>
      <c r="Q36" s="450"/>
      <c r="R36" s="450"/>
      <c r="S36" s="450"/>
      <c r="T36" s="450"/>
      <c r="U36" s="450"/>
      <c r="V36" s="450"/>
      <c r="W36" s="450"/>
      <c r="X36" s="450"/>
      <c r="Y36" s="450"/>
      <c r="Z36" s="451"/>
    </row>
    <row r="37" spans="1:26" ht="15.75" customHeight="1">
      <c r="A37" s="330"/>
      <c r="B37" s="190" t="s">
        <v>89</v>
      </c>
      <c r="C37" s="92"/>
      <c r="D37" s="92"/>
      <c r="E37" s="108"/>
      <c r="F37" s="383" t="s">
        <v>90</v>
      </c>
      <c r="G37" s="361"/>
      <c r="H37" s="91">
        <f>IFERROR(AVERAGE($C$39:$E$39),0)</f>
        <v>0</v>
      </c>
      <c r="I37" s="91">
        <f>IFERROR(AVERAGE(C40:E40),0)</f>
        <v>0</v>
      </c>
      <c r="J37" s="154" t="str">
        <f>IFERROR(H37/I37,"N/A")</f>
        <v>N/A</v>
      </c>
      <c r="K37" s="326"/>
      <c r="L37" s="368"/>
      <c r="M37" s="368"/>
      <c r="N37" s="368"/>
      <c r="O37" s="368"/>
      <c r="P37" s="449"/>
      <c r="Q37" s="450"/>
      <c r="R37" s="450"/>
      <c r="S37" s="450"/>
      <c r="T37" s="450"/>
      <c r="U37" s="450"/>
      <c r="V37" s="450"/>
      <c r="W37" s="450"/>
      <c r="X37" s="450"/>
      <c r="Y37" s="450"/>
      <c r="Z37" s="451"/>
    </row>
    <row r="38" spans="1:26" ht="15.75" customHeight="1">
      <c r="A38" s="330"/>
      <c r="B38" s="190" t="s">
        <v>91</v>
      </c>
      <c r="C38" s="92"/>
      <c r="D38" s="92"/>
      <c r="E38" s="108"/>
      <c r="F38" s="398" t="s">
        <v>92</v>
      </c>
      <c r="G38" s="399"/>
      <c r="H38" s="399"/>
      <c r="I38" s="399"/>
      <c r="J38" s="107"/>
      <c r="K38" s="326"/>
      <c r="L38" s="369"/>
      <c r="M38" s="369"/>
      <c r="N38" s="369"/>
      <c r="O38" s="369"/>
      <c r="P38" s="449"/>
      <c r="Q38" s="450"/>
      <c r="R38" s="450"/>
      <c r="S38" s="450"/>
      <c r="T38" s="450"/>
      <c r="U38" s="450"/>
      <c r="V38" s="450"/>
      <c r="W38" s="450"/>
      <c r="X38" s="450"/>
      <c r="Y38" s="450"/>
      <c r="Z38" s="451"/>
    </row>
    <row r="39" spans="1:26" ht="15.75" customHeight="1">
      <c r="A39" s="330"/>
      <c r="B39" s="190" t="s">
        <v>93</v>
      </c>
      <c r="C39" s="92"/>
      <c r="D39" s="92"/>
      <c r="E39" s="108"/>
      <c r="F39" s="398" t="s">
        <v>94</v>
      </c>
      <c r="G39" s="399"/>
      <c r="H39" s="399"/>
      <c r="I39" s="399"/>
      <c r="J39" s="107"/>
      <c r="K39" s="326"/>
      <c r="L39" s="111"/>
      <c r="M39" s="102"/>
      <c r="N39" s="102"/>
      <c r="O39" s="146"/>
      <c r="P39" s="449"/>
      <c r="Q39" s="450"/>
      <c r="R39" s="450"/>
      <c r="S39" s="450"/>
      <c r="T39" s="450"/>
      <c r="U39" s="450"/>
      <c r="V39" s="450"/>
      <c r="W39" s="450"/>
      <c r="X39" s="450"/>
      <c r="Y39" s="450"/>
      <c r="Z39" s="451"/>
    </row>
    <row r="40" spans="1:26" ht="15.75" customHeight="1">
      <c r="A40" s="330"/>
      <c r="B40" s="190" t="s">
        <v>95</v>
      </c>
      <c r="C40" s="92"/>
      <c r="D40" s="92"/>
      <c r="E40" s="108"/>
      <c r="F40" s="383" t="s">
        <v>96</v>
      </c>
      <c r="G40" s="361"/>
      <c r="H40" s="157" t="str">
        <f>IFERROR(Reference!AB11/Reference!AB13,"N/A")</f>
        <v>N/A</v>
      </c>
      <c r="I40" s="157" t="str">
        <f>IFERROR(Reference!AB12/Reference!AB13,"N/A")</f>
        <v>N/A</v>
      </c>
      <c r="J40" s="362"/>
      <c r="K40" s="326"/>
      <c r="L40" s="112"/>
      <c r="M40" s="101"/>
      <c r="N40" s="101"/>
      <c r="O40" s="131"/>
      <c r="P40" s="449"/>
      <c r="Q40" s="450"/>
      <c r="R40" s="450"/>
      <c r="S40" s="450"/>
      <c r="T40" s="450"/>
      <c r="U40" s="450"/>
      <c r="V40" s="450"/>
      <c r="W40" s="450"/>
      <c r="X40" s="450"/>
      <c r="Y40" s="450"/>
      <c r="Z40" s="451"/>
    </row>
    <row r="41" spans="1:26" ht="15.75" customHeight="1">
      <c r="A41" s="330"/>
      <c r="B41" s="475" t="s">
        <v>97</v>
      </c>
      <c r="C41" s="476"/>
      <c r="D41" s="476"/>
      <c r="E41" s="479">
        <v>90</v>
      </c>
      <c r="F41" s="383" t="s">
        <v>98</v>
      </c>
      <c r="G41" s="361"/>
      <c r="H41" s="158" t="str">
        <f>IFERROR((H40)/3,"N/A")</f>
        <v>N/A</v>
      </c>
      <c r="I41" s="158" t="str">
        <f>IFERROR((I40)/3,"N/A")</f>
        <v>N/A</v>
      </c>
      <c r="J41" s="363"/>
      <c r="K41" s="326"/>
      <c r="L41" s="359" t="s">
        <v>99</v>
      </c>
      <c r="M41" s="359"/>
      <c r="N41" s="359"/>
      <c r="O41" s="359"/>
      <c r="P41" s="449"/>
      <c r="Q41" s="450"/>
      <c r="R41" s="450"/>
      <c r="S41" s="450"/>
      <c r="T41" s="450"/>
      <c r="U41" s="450"/>
      <c r="V41" s="450"/>
      <c r="W41" s="450"/>
      <c r="X41" s="450"/>
      <c r="Y41" s="450"/>
      <c r="Z41" s="451"/>
    </row>
    <row r="42" spans="1:26" ht="15.75" customHeight="1">
      <c r="A42" s="331"/>
      <c r="B42" s="477"/>
      <c r="C42" s="478"/>
      <c r="D42" s="478"/>
      <c r="E42" s="480"/>
      <c r="F42" s="392" t="s">
        <v>100</v>
      </c>
      <c r="G42" s="393"/>
      <c r="H42" s="159" t="str">
        <f>IFERROR(Reference!Z14,"N/A")</f>
        <v>N/A</v>
      </c>
      <c r="I42" s="159" t="str">
        <f>IFERROR(Reference!Z15,"N/A")</f>
        <v>N/A</v>
      </c>
      <c r="J42" s="364"/>
      <c r="K42" s="326"/>
      <c r="L42" s="350"/>
      <c r="M42" s="351"/>
      <c r="N42" s="351"/>
      <c r="O42" s="352"/>
      <c r="P42" s="449"/>
      <c r="Q42" s="450"/>
      <c r="R42" s="450"/>
      <c r="S42" s="450"/>
      <c r="T42" s="450"/>
      <c r="U42" s="450"/>
      <c r="V42" s="450"/>
      <c r="W42" s="450"/>
      <c r="X42" s="450"/>
      <c r="Y42" s="450"/>
      <c r="Z42" s="451"/>
    </row>
    <row r="43" spans="1:26" ht="15.75" customHeight="1">
      <c r="A43" s="102"/>
      <c r="B43" s="104"/>
      <c r="C43" s="64"/>
      <c r="D43" s="64"/>
      <c r="E43" s="64"/>
      <c r="F43" s="65"/>
      <c r="G43" s="5"/>
      <c r="H43" s="66"/>
      <c r="I43" s="66"/>
      <c r="J43" s="62"/>
      <c r="K43" s="326"/>
      <c r="L43" s="215" t="s">
        <v>48</v>
      </c>
      <c r="M43" s="245"/>
      <c r="N43" s="246"/>
      <c r="O43" s="247"/>
      <c r="P43" s="449"/>
      <c r="Q43" s="450"/>
      <c r="R43" s="450"/>
      <c r="S43" s="450"/>
      <c r="T43" s="450"/>
      <c r="U43" s="450"/>
      <c r="V43" s="450"/>
      <c r="W43" s="450"/>
      <c r="X43" s="450"/>
      <c r="Y43" s="450"/>
      <c r="Z43" s="451"/>
    </row>
    <row r="44" spans="1:26" ht="15.75" customHeight="1">
      <c r="A44" s="101"/>
      <c r="B44" s="105"/>
      <c r="C44" s="61"/>
      <c r="D44" s="67"/>
      <c r="E44" s="61"/>
      <c r="F44" s="62"/>
      <c r="G44" s="62"/>
      <c r="H44" s="62"/>
      <c r="I44" s="62"/>
      <c r="J44" s="62"/>
      <c r="K44" s="326"/>
      <c r="L44" s="215" t="s">
        <v>51</v>
      </c>
      <c r="M44" s="44"/>
      <c r="N44" s="43"/>
      <c r="O44" s="144"/>
      <c r="P44" s="452"/>
      <c r="Q44" s="453"/>
      <c r="R44" s="453"/>
      <c r="S44" s="453"/>
      <c r="T44" s="453"/>
      <c r="U44" s="453"/>
      <c r="V44" s="453"/>
      <c r="W44" s="453"/>
      <c r="X44" s="453"/>
      <c r="Y44" s="453"/>
      <c r="Z44" s="454"/>
    </row>
    <row r="45" spans="1:26" ht="15.75" customHeight="1" thickBot="1">
      <c r="A45" s="329" t="s">
        <v>101</v>
      </c>
      <c r="B45" s="406" t="s">
        <v>102</v>
      </c>
      <c r="C45" s="407"/>
      <c r="D45" s="407"/>
      <c r="E45" s="407"/>
      <c r="F45" s="407"/>
      <c r="G45" s="407"/>
      <c r="H45" s="407"/>
      <c r="I45" s="407"/>
      <c r="J45" s="408"/>
      <c r="K45" s="326"/>
      <c r="L45" s="215" t="s">
        <v>54</v>
      </c>
      <c r="M45" s="20" t="str">
        <f>IFERROR((AVERAGE(M43:O43)/AVERAGE(M44:O44)),"N/A")</f>
        <v>N/A</v>
      </c>
      <c r="N45" s="216" t="s">
        <v>55</v>
      </c>
      <c r="O45" s="145" t="str">
        <f>IFERROR((MAX(M43:O43)/MAX(M44:O44)),"N/A")</f>
        <v>N/A</v>
      </c>
      <c r="P45" s="455" t="str">
        <f>INDEX(Norms!C1:C6, MATCH(X1,Norms!A1:A6,0))</f>
        <v>Lower Extremity Force Plate Testing: Countermovement Jump
There are few, if any, studies showing predictive abilities of countermovement jump kinetics to predict injury or re-injury. Most of the research regarding injuries is about those who are already injured or had a history of injury. Normative values from such studies may be useful to practitioners when making decisions.
Read et al, 2020 studied a group of professional football players and provided norms for peak power and assymetries at specific time points:
166 ACLR, 204 health, pro soccer, male, 24 y/o:
Peak power (W/kg):
- ACLR &lt;6 monts post-op: 44.2±.6.1 (42.0-46.5)
- ACLR between 6-9 months post-op: 46.7±.6.3 (45.1-48.2)
- ACLR greater than 9 months post-op: 46.4±.6.2 (44.7-48.1)
- Healthy controls 50.4±.4.9 (49.7-51.1)
Eccentric deceleration impulse Asymmetry (% toward uninjured side):
- ACLR &lt;6 monts post-op: 10.4±7.2
- ACLR between 6-9 months post-op: 10.2±6.2
- ACLR greater than 9 months post-op: 8.5±5.8
- Healthy controls 6.0±4.5
Concentric Impulse Asymmetry (% toward uninjured side):
- ACLR &lt;6 monts post-op: 11.3±.5.8
- ACLR between 6-9 months post-op: 9.6±.5.6
- ACLR greater than 9 months post-op: 7.4±.5.1
- Healthy controls 2.8±.1.8
Peak landing force (not impulse) asymmetry (% toward uninjured side):
- ACLR &lt;6 monts post-op: 15.8±.12.4
- ACLR between 6-9 months post-op: 13.8±.11.3
- ACLR greater than 9 months post-op: 11.2±.8.8
- Healthy controls 8.7±.6.6
Kotsifaki et al, 2023 reported similar findings, but also provided coefficient of varance for each phase. This means that aysmmetries below the CVs may be natural variability of the movement and not true abnormal movement.
126 ACLR, 532 healthy, male, 25 y/o
Eccentric Impulse Asymmetry (%  toward uninjured side):
- Coefficient of variability: 13-15%
- ACLR: 4±13
- Healthy: 4±14
Concentric Impulse Asymmetry (%  toward uninjured side):
- Coefficient of variability: 7-8%
- ACLR: 7±7
- Healthy: 1±7
Peak landing force (not impulse) asymmetry (% toward injured side):
- Coefficient of variability: 19-22%
- ACLR: 10±20
- Healthy: 1±19
Collings et al, 2021 investigated CMJ differences in jumping and landing metrics, and found no differences between those who had a prior hamstring within the past 12 months (26 female, pro Australian football, 21 y/o).
van Melick et al, 2024 reviewed norms across various sports for various jumps. These values are in the referenced article on the "info" tab as well as www.aclreference.nl.</v>
      </c>
      <c r="Q45" s="456"/>
      <c r="R45" s="456"/>
      <c r="S45" s="456"/>
      <c r="T45" s="456"/>
      <c r="U45" s="456"/>
      <c r="V45" s="456"/>
      <c r="W45" s="456"/>
      <c r="X45" s="456"/>
      <c r="Y45" s="456"/>
      <c r="Z45" s="457"/>
    </row>
    <row r="46" spans="1:26" ht="15.75" customHeight="1">
      <c r="A46" s="330"/>
      <c r="B46" s="205"/>
      <c r="C46" s="241" t="s">
        <v>42</v>
      </c>
      <c r="D46" s="241" t="s">
        <v>43</v>
      </c>
      <c r="E46" s="242" t="s">
        <v>44</v>
      </c>
      <c r="F46" s="394"/>
      <c r="G46" s="395"/>
      <c r="H46" s="241" t="s">
        <v>37</v>
      </c>
      <c r="I46" s="241" t="s">
        <v>38</v>
      </c>
      <c r="J46" s="242" t="s">
        <v>39</v>
      </c>
      <c r="K46" s="326"/>
      <c r="L46" s="365" t="s">
        <v>58</v>
      </c>
      <c r="M46" s="366"/>
      <c r="N46" s="366"/>
      <c r="O46" s="366"/>
      <c r="P46" s="458"/>
      <c r="Q46" s="281"/>
      <c r="R46" s="281"/>
      <c r="S46" s="281"/>
      <c r="T46" s="281"/>
      <c r="U46" s="281"/>
      <c r="V46" s="281"/>
      <c r="W46" s="281"/>
      <c r="X46" s="281"/>
      <c r="Y46" s="281"/>
      <c r="Z46" s="459"/>
    </row>
    <row r="47" spans="1:26" ht="15.75" customHeight="1">
      <c r="A47" s="330"/>
      <c r="B47" s="190" t="s">
        <v>103</v>
      </c>
      <c r="C47" s="87"/>
      <c r="D47" s="87"/>
      <c r="E47" s="113"/>
      <c r="F47" s="383" t="s">
        <v>104</v>
      </c>
      <c r="G47" s="361"/>
      <c r="H47" s="95">
        <f>IFERROR(AVERAGE($C$47:$E$47),0)</f>
        <v>0</v>
      </c>
      <c r="I47" s="95">
        <f>IFERROR(AVERAGE(C48:E48),0)</f>
        <v>0</v>
      </c>
      <c r="J47" s="133" t="str">
        <f>IFERROR(H47/I47, "N/A")</f>
        <v>N/A</v>
      </c>
      <c r="K47" s="326"/>
      <c r="L47" s="367"/>
      <c r="M47" s="367"/>
      <c r="N47" s="367"/>
      <c r="O47" s="367"/>
      <c r="P47" s="458"/>
      <c r="Q47" s="281"/>
      <c r="R47" s="281"/>
      <c r="S47" s="281"/>
      <c r="T47" s="281"/>
      <c r="U47" s="281"/>
      <c r="V47" s="281"/>
      <c r="W47" s="281"/>
      <c r="X47" s="281"/>
      <c r="Y47" s="281"/>
      <c r="Z47" s="459"/>
    </row>
    <row r="48" spans="1:26" ht="15.75" customHeight="1">
      <c r="A48" s="330"/>
      <c r="B48" s="190" t="s">
        <v>105</v>
      </c>
      <c r="C48" s="87"/>
      <c r="D48" s="87"/>
      <c r="E48" s="113"/>
      <c r="F48" s="383" t="s">
        <v>106</v>
      </c>
      <c r="G48" s="361"/>
      <c r="H48" s="95">
        <f>IFERROR(AVERAGE($C$49:$E$49),0)</f>
        <v>0</v>
      </c>
      <c r="I48" s="95">
        <f>IFERROR(AVERAGE($C$52:$E$52),0)</f>
        <v>0</v>
      </c>
      <c r="J48" s="133" t="str">
        <f>IFERROR(H48/I48,"N/A")</f>
        <v>N/A</v>
      </c>
      <c r="K48" s="326"/>
      <c r="L48" s="368"/>
      <c r="M48" s="368"/>
      <c r="N48" s="368"/>
      <c r="O48" s="368"/>
      <c r="P48" s="458"/>
      <c r="Q48" s="281"/>
      <c r="R48" s="281"/>
      <c r="S48" s="281"/>
      <c r="T48" s="281"/>
      <c r="U48" s="281"/>
      <c r="V48" s="281"/>
      <c r="W48" s="281"/>
      <c r="X48" s="281"/>
      <c r="Y48" s="281"/>
      <c r="Z48" s="459"/>
    </row>
    <row r="49" spans="1:26" ht="15.75" customHeight="1">
      <c r="A49" s="330"/>
      <c r="B49" s="190" t="s">
        <v>107</v>
      </c>
      <c r="C49" s="87"/>
      <c r="D49" s="87"/>
      <c r="E49" s="113"/>
      <c r="F49" s="383" t="s">
        <v>108</v>
      </c>
      <c r="G49" s="361"/>
      <c r="H49" s="95">
        <f>IFERROR(AVERAGE($C$51:$E$51),0)</f>
        <v>0</v>
      </c>
      <c r="I49" s="95">
        <f>IFERROR(AVERAGE(C52:E52),0)</f>
        <v>0</v>
      </c>
      <c r="J49" s="133" t="str">
        <f>IFERROR(H49/I49,"N/A")</f>
        <v>N/A</v>
      </c>
      <c r="K49" s="326"/>
      <c r="L49" s="368"/>
      <c r="M49" s="368"/>
      <c r="N49" s="368"/>
      <c r="O49" s="368"/>
      <c r="P49" s="458"/>
      <c r="Q49" s="281"/>
      <c r="R49" s="281"/>
      <c r="S49" s="281"/>
      <c r="T49" s="281"/>
      <c r="U49" s="281"/>
      <c r="V49" s="281"/>
      <c r="W49" s="281"/>
      <c r="X49" s="281"/>
      <c r="Y49" s="281"/>
      <c r="Z49" s="459"/>
    </row>
    <row r="50" spans="1:26" ht="15.75" customHeight="1">
      <c r="A50" s="330"/>
      <c r="B50" s="190" t="s">
        <v>109</v>
      </c>
      <c r="C50" s="87"/>
      <c r="D50" s="87"/>
      <c r="E50" s="113"/>
      <c r="F50" s="383" t="s">
        <v>110</v>
      </c>
      <c r="G50" s="361"/>
      <c r="H50" s="88"/>
      <c r="I50" s="88"/>
      <c r="J50" s="133" t="str">
        <f>IFERROR(H50/I50,"N/A")</f>
        <v>N/A</v>
      </c>
      <c r="K50" s="326"/>
      <c r="L50" s="368"/>
      <c r="M50" s="368"/>
      <c r="N50" s="368"/>
      <c r="O50" s="368"/>
      <c r="P50" s="458"/>
      <c r="Q50" s="281"/>
      <c r="R50" s="281"/>
      <c r="S50" s="281"/>
      <c r="T50" s="281"/>
      <c r="U50" s="281"/>
      <c r="V50" s="281"/>
      <c r="W50" s="281"/>
      <c r="X50" s="281"/>
      <c r="Y50" s="281"/>
      <c r="Z50" s="459"/>
    </row>
    <row r="51" spans="1:26" ht="15.75" customHeight="1">
      <c r="A51" s="330"/>
      <c r="B51" s="190" t="s">
        <v>111</v>
      </c>
      <c r="C51" s="87"/>
      <c r="D51" s="87"/>
      <c r="E51" s="113"/>
      <c r="F51" s="483" t="s">
        <v>112</v>
      </c>
      <c r="G51" s="484"/>
      <c r="H51" s="88"/>
      <c r="I51" s="88"/>
      <c r="J51" s="133" t="str">
        <f>IFERROR(H51/I51,"N/A")</f>
        <v>N/A</v>
      </c>
      <c r="K51" s="326"/>
      <c r="L51" s="368"/>
      <c r="M51" s="368"/>
      <c r="N51" s="368"/>
      <c r="O51" s="368"/>
      <c r="P51" s="458"/>
      <c r="Q51" s="281"/>
      <c r="R51" s="281"/>
      <c r="S51" s="281"/>
      <c r="T51" s="281"/>
      <c r="U51" s="281"/>
      <c r="V51" s="281"/>
      <c r="W51" s="281"/>
      <c r="X51" s="281"/>
      <c r="Y51" s="281"/>
      <c r="Z51" s="459"/>
    </row>
    <row r="52" spans="1:26" ht="15.75" customHeight="1" thickBot="1">
      <c r="A52" s="331"/>
      <c r="B52" s="193" t="s">
        <v>113</v>
      </c>
      <c r="C52" s="164"/>
      <c r="D52" s="164"/>
      <c r="E52" s="165"/>
      <c r="F52" s="392" t="s">
        <v>114</v>
      </c>
      <c r="G52" s="393"/>
      <c r="H52" s="163"/>
      <c r="I52" s="163"/>
      <c r="J52" s="134" t="str">
        <f>IFERROR(H52/I52,"N/A")</f>
        <v>N/A</v>
      </c>
      <c r="K52" s="326"/>
      <c r="L52" s="368"/>
      <c r="M52" s="368"/>
      <c r="N52" s="368"/>
      <c r="O52" s="368"/>
      <c r="P52" s="458"/>
      <c r="Q52" s="281"/>
      <c r="R52" s="281"/>
      <c r="S52" s="281"/>
      <c r="T52" s="281"/>
      <c r="U52" s="281"/>
      <c r="V52" s="281"/>
      <c r="W52" s="281"/>
      <c r="X52" s="281"/>
      <c r="Y52" s="281"/>
      <c r="Z52" s="459"/>
    </row>
    <row r="53" spans="1:26" ht="15.75" customHeight="1" thickBot="1">
      <c r="A53" s="97"/>
      <c r="B53" s="65"/>
      <c r="C53" s="85"/>
      <c r="D53" s="85"/>
      <c r="E53" s="85"/>
      <c r="F53" s="98"/>
      <c r="G53" s="98"/>
      <c r="H53" s="86"/>
      <c r="I53" s="86"/>
      <c r="J53" s="90"/>
      <c r="K53" s="326"/>
      <c r="L53" s="369"/>
      <c r="M53" s="369"/>
      <c r="N53" s="369"/>
      <c r="O53" s="369"/>
      <c r="P53" s="458"/>
      <c r="Q53" s="281"/>
      <c r="R53" s="281"/>
      <c r="S53" s="281"/>
      <c r="T53" s="281"/>
      <c r="U53" s="281"/>
      <c r="V53" s="281"/>
      <c r="W53" s="281"/>
      <c r="X53" s="281"/>
      <c r="Y53" s="281"/>
      <c r="Z53" s="459"/>
    </row>
    <row r="54" spans="1:26" ht="15.75" customHeight="1" thickBot="1">
      <c r="A54" s="21"/>
      <c r="B54" s="65"/>
      <c r="C54" s="85"/>
      <c r="D54" s="85"/>
      <c r="E54" s="85"/>
      <c r="F54" s="89"/>
      <c r="G54" s="89"/>
      <c r="H54" s="86"/>
      <c r="I54" s="86"/>
      <c r="J54" s="90"/>
      <c r="K54" s="326"/>
      <c r="L54" s="111"/>
      <c r="M54" s="102"/>
      <c r="N54" s="102"/>
      <c r="O54" s="146"/>
      <c r="P54" s="458"/>
      <c r="Q54" s="281"/>
      <c r="R54" s="281"/>
      <c r="S54" s="281"/>
      <c r="T54" s="281"/>
      <c r="U54" s="281"/>
      <c r="V54" s="281"/>
      <c r="W54" s="281"/>
      <c r="X54" s="281"/>
      <c r="Y54" s="281"/>
      <c r="Z54" s="459"/>
    </row>
    <row r="55" spans="1:26" ht="15.75" customHeight="1" thickBot="1">
      <c r="A55" s="329" t="s">
        <v>115</v>
      </c>
      <c r="B55" s="406" t="s">
        <v>116</v>
      </c>
      <c r="C55" s="407"/>
      <c r="D55" s="407"/>
      <c r="E55" s="407"/>
      <c r="F55" s="407"/>
      <c r="G55" s="407"/>
      <c r="H55" s="407"/>
      <c r="I55" s="407"/>
      <c r="J55" s="408"/>
      <c r="K55" s="326"/>
      <c r="L55" s="112"/>
      <c r="M55" s="101"/>
      <c r="N55" s="101"/>
      <c r="O55" s="131"/>
      <c r="P55" s="458"/>
      <c r="Q55" s="281"/>
      <c r="R55" s="281"/>
      <c r="S55" s="281"/>
      <c r="T55" s="281"/>
      <c r="U55" s="281"/>
      <c r="V55" s="281"/>
      <c r="W55" s="281"/>
      <c r="X55" s="281"/>
      <c r="Y55" s="281"/>
      <c r="Z55" s="459"/>
    </row>
    <row r="56" spans="1:26" ht="15.75" customHeight="1">
      <c r="A56" s="330"/>
      <c r="B56" s="409" t="s">
        <v>117</v>
      </c>
      <c r="C56" s="410"/>
      <c r="D56" s="410"/>
      <c r="E56" s="410"/>
      <c r="F56" s="409" t="s">
        <v>118</v>
      </c>
      <c r="G56" s="410"/>
      <c r="H56" s="410"/>
      <c r="I56" s="410"/>
      <c r="J56" s="411"/>
      <c r="K56" s="327"/>
      <c r="L56" s="359" t="s">
        <v>119</v>
      </c>
      <c r="M56" s="359"/>
      <c r="N56" s="359"/>
      <c r="O56" s="359"/>
      <c r="P56" s="458"/>
      <c r="Q56" s="281"/>
      <c r="R56" s="281"/>
      <c r="S56" s="281"/>
      <c r="T56" s="281"/>
      <c r="U56" s="281"/>
      <c r="V56" s="281"/>
      <c r="W56" s="281"/>
      <c r="X56" s="281"/>
      <c r="Y56" s="281"/>
      <c r="Z56" s="459"/>
    </row>
    <row r="57" spans="1:26" ht="15.75" customHeight="1">
      <c r="A57" s="330"/>
      <c r="B57" s="412" t="s">
        <v>120</v>
      </c>
      <c r="C57" s="413"/>
      <c r="D57" s="360"/>
      <c r="E57" s="160" t="s">
        <v>22</v>
      </c>
      <c r="F57" s="206"/>
      <c r="G57" s="207" t="s">
        <v>121</v>
      </c>
      <c r="H57" s="208" t="s">
        <v>122</v>
      </c>
      <c r="I57" s="208" t="s">
        <v>123</v>
      </c>
      <c r="J57" s="209" t="s">
        <v>39</v>
      </c>
      <c r="K57" s="327"/>
      <c r="L57" s="350"/>
      <c r="M57" s="351"/>
      <c r="N57" s="351"/>
      <c r="O57" s="352"/>
      <c r="P57" s="458"/>
      <c r="Q57" s="281"/>
      <c r="R57" s="281"/>
      <c r="S57" s="281"/>
      <c r="T57" s="281"/>
      <c r="U57" s="281"/>
      <c r="V57" s="281"/>
      <c r="W57" s="281"/>
      <c r="X57" s="281"/>
      <c r="Y57" s="281"/>
      <c r="Z57" s="459"/>
    </row>
    <row r="58" spans="1:26" ht="15.75" customHeight="1">
      <c r="A58" s="330"/>
      <c r="B58" s="412" t="s">
        <v>124</v>
      </c>
      <c r="C58" s="413"/>
      <c r="D58" s="360"/>
      <c r="E58" s="160" t="s">
        <v>22</v>
      </c>
      <c r="F58" s="206" t="s">
        <v>125</v>
      </c>
      <c r="G58" s="222"/>
      <c r="H58" s="222"/>
      <c r="I58" s="153">
        <f>IFERROR(G58/J61,0)</f>
        <v>0</v>
      </c>
      <c r="J58" s="133" t="str">
        <f>IFERROR(G58/H58,"N/A")</f>
        <v>N/A</v>
      </c>
      <c r="K58" s="327"/>
      <c r="L58" s="215" t="s">
        <v>48</v>
      </c>
      <c r="M58" s="245"/>
      <c r="N58" s="246"/>
      <c r="O58" s="247"/>
      <c r="P58" s="458"/>
      <c r="Q58" s="281"/>
      <c r="R58" s="281"/>
      <c r="S58" s="281"/>
      <c r="T58" s="281"/>
      <c r="U58" s="281"/>
      <c r="V58" s="281"/>
      <c r="W58" s="281"/>
      <c r="X58" s="281"/>
      <c r="Y58" s="281"/>
      <c r="Z58" s="459"/>
    </row>
    <row r="59" spans="1:26" ht="15.75" customHeight="1">
      <c r="A59" s="330"/>
      <c r="B59" s="412" t="s">
        <v>126</v>
      </c>
      <c r="C59" s="413"/>
      <c r="D59" s="360"/>
      <c r="E59" s="160" t="s">
        <v>22</v>
      </c>
      <c r="F59" s="206" t="s">
        <v>127</v>
      </c>
      <c r="G59" s="222"/>
      <c r="H59" s="222"/>
      <c r="I59" s="153">
        <f>IFERROR(G59/J61,0)</f>
        <v>0</v>
      </c>
      <c r="J59" s="133" t="str">
        <f>IFERROR(G59/H59,"N/A")</f>
        <v>N/A</v>
      </c>
      <c r="K59" s="327"/>
      <c r="L59" s="215" t="s">
        <v>51</v>
      </c>
      <c r="M59" s="44"/>
      <c r="N59" s="43"/>
      <c r="O59" s="144"/>
      <c r="P59" s="458"/>
      <c r="Q59" s="281"/>
      <c r="R59" s="281"/>
      <c r="S59" s="281"/>
      <c r="T59" s="281"/>
      <c r="U59" s="281"/>
      <c r="V59" s="281"/>
      <c r="W59" s="281"/>
      <c r="X59" s="281"/>
      <c r="Y59" s="281"/>
      <c r="Z59" s="459"/>
    </row>
    <row r="60" spans="1:26" ht="15.75" customHeight="1" thickBot="1">
      <c r="A60" s="331"/>
      <c r="B60" s="414" t="s">
        <v>128</v>
      </c>
      <c r="C60" s="415"/>
      <c r="D60" s="416"/>
      <c r="E60" s="161" t="s">
        <v>22</v>
      </c>
      <c r="F60" s="210" t="s">
        <v>129</v>
      </c>
      <c r="G60" s="223"/>
      <c r="H60" s="223"/>
      <c r="I60" s="153">
        <f>IFERROR(G60/J61,0)</f>
        <v>0</v>
      </c>
      <c r="J60" s="162" t="str">
        <f>IFERROR(G60/H60,"N/A")</f>
        <v>N/A</v>
      </c>
      <c r="K60" s="327"/>
      <c r="L60" s="215" t="s">
        <v>54</v>
      </c>
      <c r="M60" s="20" t="str">
        <f>IFERROR((AVERAGE(M58:O58)/AVERAGE(M59:O59)),"N/A")</f>
        <v>N/A</v>
      </c>
      <c r="N60" s="216" t="s">
        <v>55</v>
      </c>
      <c r="O60" s="145" t="str">
        <f>IFERROR((MAX(M58:O58)/MAX(M59:O59)),"N/A")</f>
        <v>N/A</v>
      </c>
      <c r="P60" s="458"/>
      <c r="Q60" s="281"/>
      <c r="R60" s="281"/>
      <c r="S60" s="281"/>
      <c r="T60" s="281"/>
      <c r="U60" s="281"/>
      <c r="V60" s="281"/>
      <c r="W60" s="281"/>
      <c r="X60" s="281"/>
      <c r="Y60" s="281"/>
      <c r="Z60" s="459"/>
    </row>
    <row r="61" spans="1:26" ht="15.75" customHeight="1" thickBot="1">
      <c r="A61" s="137"/>
      <c r="B61" s="65"/>
      <c r="C61" s="85"/>
      <c r="D61" s="85"/>
      <c r="E61" s="85"/>
      <c r="F61" s="211" t="s">
        <v>130</v>
      </c>
      <c r="G61" s="228"/>
      <c r="H61" s="228"/>
      <c r="I61" s="243" t="s">
        <v>62</v>
      </c>
      <c r="J61" s="244"/>
      <c r="K61" s="327"/>
      <c r="L61" s="370" t="s">
        <v>58</v>
      </c>
      <c r="M61" s="371"/>
      <c r="N61" s="371"/>
      <c r="O61" s="371"/>
      <c r="P61" s="458"/>
      <c r="Q61" s="281"/>
      <c r="R61" s="281"/>
      <c r="S61" s="281"/>
      <c r="T61" s="281"/>
      <c r="U61" s="281"/>
      <c r="V61" s="281"/>
      <c r="W61" s="281"/>
      <c r="X61" s="281"/>
      <c r="Y61" s="281"/>
      <c r="Z61" s="459"/>
    </row>
    <row r="62" spans="1:26" ht="15.75" customHeight="1" thickBot="1">
      <c r="A62" s="49"/>
      <c r="B62" s="5"/>
      <c r="C62" s="5"/>
      <c r="D62" s="5"/>
      <c r="E62" s="5"/>
      <c r="F62" s="5"/>
      <c r="H62" s="5"/>
      <c r="I62" s="5"/>
      <c r="J62" s="5"/>
      <c r="K62" s="326"/>
      <c r="L62" s="466"/>
      <c r="M62" s="466"/>
      <c r="N62" s="466"/>
      <c r="O62" s="466"/>
      <c r="P62" s="458"/>
      <c r="Q62" s="281"/>
      <c r="R62" s="281"/>
      <c r="S62" s="281"/>
      <c r="T62" s="281"/>
      <c r="U62" s="281"/>
      <c r="V62" s="281"/>
      <c r="W62" s="281"/>
      <c r="X62" s="281"/>
      <c r="Y62" s="281"/>
      <c r="Z62" s="459"/>
    </row>
    <row r="63" spans="1:26" ht="15.75" customHeight="1">
      <c r="A63" s="329" t="s">
        <v>131</v>
      </c>
      <c r="B63" s="417" t="s">
        <v>132</v>
      </c>
      <c r="C63" s="418"/>
      <c r="D63" s="418"/>
      <c r="E63" s="418"/>
      <c r="F63" s="419"/>
      <c r="G63" s="100"/>
      <c r="H63" s="400" t="s">
        <v>133</v>
      </c>
      <c r="I63" s="401"/>
      <c r="J63" s="401"/>
      <c r="K63" s="326"/>
      <c r="L63" s="368"/>
      <c r="M63" s="368"/>
      <c r="N63" s="368"/>
      <c r="O63" s="368"/>
      <c r="P63" s="458"/>
      <c r="Q63" s="281"/>
      <c r="R63" s="281"/>
      <c r="S63" s="281"/>
      <c r="T63" s="281"/>
      <c r="U63" s="281"/>
      <c r="V63" s="281"/>
      <c r="W63" s="281"/>
      <c r="X63" s="281"/>
      <c r="Y63" s="281"/>
      <c r="Z63" s="459"/>
    </row>
    <row r="64" spans="1:26" ht="15.75" customHeight="1">
      <c r="A64" s="330"/>
      <c r="B64" s="420"/>
      <c r="C64" s="421"/>
      <c r="D64" s="191" t="s">
        <v>121</v>
      </c>
      <c r="E64" s="191" t="s">
        <v>122</v>
      </c>
      <c r="F64" s="192" t="s">
        <v>39</v>
      </c>
      <c r="G64" s="100"/>
      <c r="H64" s="435" t="s">
        <v>134</v>
      </c>
      <c r="I64" s="436"/>
      <c r="J64" s="214" t="s">
        <v>135</v>
      </c>
      <c r="K64" s="326"/>
      <c r="L64" s="368"/>
      <c r="M64" s="368"/>
      <c r="N64" s="368"/>
      <c r="O64" s="368"/>
      <c r="P64" s="458"/>
      <c r="Q64" s="281"/>
      <c r="R64" s="281"/>
      <c r="S64" s="281"/>
      <c r="T64" s="281"/>
      <c r="U64" s="281"/>
      <c r="V64" s="281"/>
      <c r="W64" s="281"/>
      <c r="X64" s="281"/>
      <c r="Y64" s="281"/>
      <c r="Z64" s="459"/>
    </row>
    <row r="65" spans="1:26" ht="15.75" customHeight="1">
      <c r="A65" s="330"/>
      <c r="B65" s="422" t="s">
        <v>136</v>
      </c>
      <c r="C65" s="423"/>
      <c r="D65" s="229" t="s">
        <v>22</v>
      </c>
      <c r="E65" s="229" t="s">
        <v>22</v>
      </c>
      <c r="F65" s="133" t="str">
        <f>IFERROR((D65/E65)-1,"N/A")</f>
        <v>N/A</v>
      </c>
      <c r="G65" s="100"/>
      <c r="H65" s="402"/>
      <c r="I65" s="403"/>
      <c r="J65" s="432"/>
      <c r="K65" s="326"/>
      <c r="L65" s="368"/>
      <c r="M65" s="368"/>
      <c r="N65" s="368"/>
      <c r="O65" s="368"/>
      <c r="P65" s="458"/>
      <c r="Q65" s="281"/>
      <c r="R65" s="281"/>
      <c r="S65" s="281"/>
      <c r="T65" s="281"/>
      <c r="U65" s="281"/>
      <c r="V65" s="281"/>
      <c r="W65" s="281"/>
      <c r="X65" s="281"/>
      <c r="Y65" s="281"/>
      <c r="Z65" s="459"/>
    </row>
    <row r="66" spans="1:26" ht="15.75" customHeight="1">
      <c r="A66" s="330"/>
      <c r="B66" s="422" t="s">
        <v>137</v>
      </c>
      <c r="C66" s="423"/>
      <c r="D66" s="229" t="s">
        <v>22</v>
      </c>
      <c r="E66" s="229" t="s">
        <v>22</v>
      </c>
      <c r="F66" s="133" t="str">
        <f>IFERROR((D66/E66)-1,"N/A")</f>
        <v>N/A</v>
      </c>
      <c r="G66" s="100"/>
      <c r="H66" s="402"/>
      <c r="I66" s="403"/>
      <c r="J66" s="433"/>
      <c r="K66" s="326"/>
      <c r="L66" s="368"/>
      <c r="M66" s="368"/>
      <c r="N66" s="368"/>
      <c r="O66" s="368"/>
      <c r="P66" s="458"/>
      <c r="Q66" s="281"/>
      <c r="R66" s="281"/>
      <c r="S66" s="281"/>
      <c r="T66" s="281"/>
      <c r="U66" s="281"/>
      <c r="V66" s="281"/>
      <c r="W66" s="281"/>
      <c r="X66" s="281"/>
      <c r="Y66" s="281"/>
      <c r="Z66" s="459"/>
    </row>
    <row r="67" spans="1:26" ht="15.75" customHeight="1" thickBot="1">
      <c r="A67" s="330"/>
      <c r="B67" s="422" t="s">
        <v>138</v>
      </c>
      <c r="C67" s="423"/>
      <c r="D67" s="229" t="s">
        <v>22</v>
      </c>
      <c r="E67" s="229" t="s">
        <v>22</v>
      </c>
      <c r="F67" s="133" t="str">
        <f>IFERROR((D67/E67)-1,"N/A")</f>
        <v>N/A</v>
      </c>
      <c r="G67" s="100"/>
      <c r="H67" s="402"/>
      <c r="I67" s="403"/>
      <c r="J67" s="433"/>
      <c r="K67" s="326"/>
      <c r="L67" s="369"/>
      <c r="M67" s="369"/>
      <c r="N67" s="369"/>
      <c r="O67" s="369"/>
      <c r="P67" s="458"/>
      <c r="Q67" s="281"/>
      <c r="R67" s="281"/>
      <c r="S67" s="281"/>
      <c r="T67" s="281"/>
      <c r="U67" s="281"/>
      <c r="V67" s="281"/>
      <c r="W67" s="281"/>
      <c r="X67" s="281"/>
      <c r="Y67" s="281"/>
      <c r="Z67" s="459"/>
    </row>
    <row r="68" spans="1:26" ht="15.75" customHeight="1">
      <c r="A68" s="330"/>
      <c r="B68" s="422" t="s">
        <v>139</v>
      </c>
      <c r="C68" s="423"/>
      <c r="D68" s="229" t="s">
        <v>22</v>
      </c>
      <c r="E68" s="229" t="s">
        <v>22</v>
      </c>
      <c r="F68" s="133" t="str">
        <f>IFERROR(D68/E68,"N/A")</f>
        <v>N/A</v>
      </c>
      <c r="G68" s="100"/>
      <c r="H68" s="435" t="s">
        <v>140</v>
      </c>
      <c r="I68" s="436"/>
      <c r="J68" s="214" t="s">
        <v>135</v>
      </c>
      <c r="K68" s="326"/>
      <c r="L68" s="111"/>
      <c r="M68" s="102"/>
      <c r="N68" s="102"/>
      <c r="O68" s="146"/>
      <c r="P68" s="458"/>
      <c r="Q68" s="281"/>
      <c r="R68" s="281"/>
      <c r="S68" s="281"/>
      <c r="T68" s="281"/>
      <c r="U68" s="281"/>
      <c r="V68" s="281"/>
      <c r="W68" s="281"/>
      <c r="X68" s="281"/>
      <c r="Y68" s="281"/>
      <c r="Z68" s="459"/>
    </row>
    <row r="69" spans="1:26" ht="15.75" customHeight="1" thickBot="1">
      <c r="A69" s="330"/>
      <c r="B69" s="481" t="s">
        <v>141</v>
      </c>
      <c r="C69" s="482"/>
      <c r="D69" s="230" t="s">
        <v>22</v>
      </c>
      <c r="E69" s="230" t="s">
        <v>22</v>
      </c>
      <c r="F69" s="133" t="str">
        <f>IFERROR((D69/E69)-1,"N/A")</f>
        <v>N/A</v>
      </c>
      <c r="G69" s="100"/>
      <c r="H69" s="402"/>
      <c r="I69" s="403"/>
      <c r="J69" s="432"/>
      <c r="K69" s="326"/>
      <c r="L69" s="112"/>
      <c r="M69" s="101"/>
      <c r="N69" s="101"/>
      <c r="O69" s="131"/>
      <c r="P69" s="458"/>
      <c r="Q69" s="281"/>
      <c r="R69" s="281"/>
      <c r="S69" s="281"/>
      <c r="T69" s="281"/>
      <c r="U69" s="281"/>
      <c r="V69" s="281"/>
      <c r="W69" s="281"/>
      <c r="X69" s="281"/>
      <c r="Y69" s="281"/>
      <c r="Z69" s="459"/>
    </row>
    <row r="70" spans="1:26" ht="14.25" customHeight="1">
      <c r="A70" s="330"/>
      <c r="B70" s="226" t="s">
        <v>142</v>
      </c>
      <c r="C70" s="212" t="s">
        <v>143</v>
      </c>
      <c r="D70" s="224" t="s">
        <v>22</v>
      </c>
      <c r="E70" s="224" t="s">
        <v>22</v>
      </c>
      <c r="F70" s="133" t="str">
        <f>IFERROR(D70/E70, "N/A")</f>
        <v>N/A</v>
      </c>
      <c r="G70" s="100"/>
      <c r="H70" s="402"/>
      <c r="I70" s="403"/>
      <c r="J70" s="433"/>
      <c r="K70" s="326"/>
      <c r="L70" s="359" t="s">
        <v>144</v>
      </c>
      <c r="M70" s="359"/>
      <c r="N70" s="359"/>
      <c r="O70" s="359"/>
      <c r="P70" s="458"/>
      <c r="Q70" s="281"/>
      <c r="R70" s="281"/>
      <c r="S70" s="281"/>
      <c r="T70" s="281"/>
      <c r="U70" s="281"/>
      <c r="V70" s="281"/>
      <c r="W70" s="281"/>
      <c r="X70" s="281"/>
      <c r="Y70" s="281"/>
      <c r="Z70" s="459"/>
    </row>
    <row r="71" spans="1:26" ht="15.75" customHeight="1" thickBot="1">
      <c r="A71" s="331"/>
      <c r="B71" s="227" t="s">
        <v>145</v>
      </c>
      <c r="C71" s="213" t="s">
        <v>143</v>
      </c>
      <c r="D71" s="225" t="s">
        <v>22</v>
      </c>
      <c r="E71" s="225" t="s">
        <v>22</v>
      </c>
      <c r="F71" s="134" t="str">
        <f>IFERROR(D71/E71,"N/A")</f>
        <v>N/A</v>
      </c>
      <c r="G71" s="100"/>
      <c r="H71" s="404"/>
      <c r="I71" s="405"/>
      <c r="J71" s="434"/>
      <c r="K71" s="326"/>
      <c r="L71" s="428"/>
      <c r="M71" s="429"/>
      <c r="N71" s="429"/>
      <c r="O71" s="430"/>
      <c r="P71" s="458"/>
      <c r="Q71" s="281"/>
      <c r="R71" s="281"/>
      <c r="S71" s="281"/>
      <c r="T71" s="281"/>
      <c r="U71" s="281"/>
      <c r="V71" s="281"/>
      <c r="W71" s="281"/>
      <c r="X71" s="281"/>
      <c r="Y71" s="281"/>
      <c r="Z71" s="459"/>
    </row>
    <row r="72" spans="1:26" ht="15.75" customHeight="1" thickBot="1">
      <c r="A72" s="49"/>
      <c r="B72" s="49"/>
      <c r="C72" s="49"/>
      <c r="D72" s="49"/>
      <c r="E72" s="49"/>
      <c r="F72" s="49"/>
      <c r="G72" s="101"/>
      <c r="H72" s="49"/>
      <c r="I72" s="49"/>
      <c r="J72" s="50"/>
      <c r="K72" s="326"/>
      <c r="L72" s="215" t="s">
        <v>48</v>
      </c>
      <c r="M72" s="245"/>
      <c r="N72" s="246"/>
      <c r="O72" s="247"/>
      <c r="P72" s="458"/>
      <c r="Q72" s="281"/>
      <c r="R72" s="281"/>
      <c r="S72" s="281"/>
      <c r="T72" s="281"/>
      <c r="U72" s="281"/>
      <c r="V72" s="281"/>
      <c r="W72" s="281"/>
      <c r="X72" s="281"/>
      <c r="Y72" s="281"/>
      <c r="Z72" s="459"/>
    </row>
    <row r="73" spans="1:26" ht="15.75" customHeight="1">
      <c r="A73" s="329" t="s">
        <v>146</v>
      </c>
      <c r="B73" s="400" t="s">
        <v>147</v>
      </c>
      <c r="C73" s="401"/>
      <c r="D73" s="401"/>
      <c r="E73" s="401"/>
      <c r="F73" s="401"/>
      <c r="G73" s="401"/>
      <c r="H73" s="401"/>
      <c r="I73" s="401"/>
      <c r="J73" s="471"/>
      <c r="K73" s="326"/>
      <c r="L73" s="215" t="s">
        <v>51</v>
      </c>
      <c r="M73" s="44"/>
      <c r="N73" s="43"/>
      <c r="O73" s="144"/>
      <c r="P73" s="458"/>
      <c r="Q73" s="281"/>
      <c r="R73" s="281"/>
      <c r="S73" s="281"/>
      <c r="T73" s="281"/>
      <c r="U73" s="281"/>
      <c r="V73" s="281"/>
      <c r="W73" s="281"/>
      <c r="X73" s="281"/>
      <c r="Y73" s="281"/>
      <c r="Z73" s="459"/>
    </row>
    <row r="74" spans="1:26" ht="15.75" customHeight="1">
      <c r="A74" s="330"/>
      <c r="B74" s="319" t="s">
        <v>22</v>
      </c>
      <c r="C74" s="320"/>
      <c r="D74" s="320"/>
      <c r="E74" s="320"/>
      <c r="F74" s="320"/>
      <c r="G74" s="320"/>
      <c r="H74" s="320"/>
      <c r="I74" s="320"/>
      <c r="J74" s="321"/>
      <c r="K74" s="326"/>
      <c r="L74" s="215" t="s">
        <v>54</v>
      </c>
      <c r="M74" s="20" t="str">
        <f>IFERROR((AVERAGE(M72:O72)/AVERAGE(M73:O73)),"N/A")</f>
        <v>N/A</v>
      </c>
      <c r="N74" s="216" t="s">
        <v>55</v>
      </c>
      <c r="O74" s="145" t="str">
        <f>IFERROR((MAX(M72:O72)/MAX(M73:O73)),"N/A")</f>
        <v>N/A</v>
      </c>
      <c r="P74" s="458"/>
      <c r="Q74" s="281"/>
      <c r="R74" s="281"/>
      <c r="S74" s="281"/>
      <c r="T74" s="281"/>
      <c r="U74" s="281"/>
      <c r="V74" s="281"/>
      <c r="W74" s="281"/>
      <c r="X74" s="281"/>
      <c r="Y74" s="281"/>
      <c r="Z74" s="459"/>
    </row>
    <row r="75" spans="1:26" ht="15.75" customHeight="1" thickBot="1">
      <c r="A75" s="330"/>
      <c r="B75" s="319"/>
      <c r="C75" s="320"/>
      <c r="D75" s="320"/>
      <c r="E75" s="320"/>
      <c r="F75" s="320"/>
      <c r="G75" s="320"/>
      <c r="H75" s="320"/>
      <c r="I75" s="320"/>
      <c r="J75" s="321"/>
      <c r="K75" s="326"/>
      <c r="L75" s="370" t="s">
        <v>58</v>
      </c>
      <c r="M75" s="371"/>
      <c r="N75" s="371"/>
      <c r="O75" s="371"/>
      <c r="P75" s="458"/>
      <c r="Q75" s="281"/>
      <c r="R75" s="281"/>
      <c r="S75" s="281"/>
      <c r="T75" s="281"/>
      <c r="U75" s="281"/>
      <c r="V75" s="281"/>
      <c r="W75" s="281"/>
      <c r="X75" s="281"/>
      <c r="Y75" s="281"/>
      <c r="Z75" s="459"/>
    </row>
    <row r="76" spans="1:26" ht="15.75" customHeight="1">
      <c r="A76" s="330"/>
      <c r="B76" s="319"/>
      <c r="C76" s="320"/>
      <c r="D76" s="320"/>
      <c r="E76" s="320"/>
      <c r="F76" s="320"/>
      <c r="G76" s="320"/>
      <c r="H76" s="320"/>
      <c r="I76" s="320"/>
      <c r="J76" s="321"/>
      <c r="K76" s="326"/>
      <c r="L76" s="466"/>
      <c r="M76" s="466"/>
      <c r="N76" s="466"/>
      <c r="O76" s="466"/>
      <c r="P76" s="458"/>
      <c r="Q76" s="281"/>
      <c r="R76" s="281"/>
      <c r="S76" s="281"/>
      <c r="T76" s="281"/>
      <c r="U76" s="281"/>
      <c r="V76" s="281"/>
      <c r="W76" s="281"/>
      <c r="X76" s="281"/>
      <c r="Y76" s="281"/>
      <c r="Z76" s="459"/>
    </row>
    <row r="77" spans="1:26" ht="15.75" customHeight="1">
      <c r="A77" s="330"/>
      <c r="B77" s="319"/>
      <c r="C77" s="320"/>
      <c r="D77" s="320"/>
      <c r="E77" s="320"/>
      <c r="F77" s="320"/>
      <c r="G77" s="320"/>
      <c r="H77" s="320"/>
      <c r="I77" s="320"/>
      <c r="J77" s="321"/>
      <c r="K77" s="326"/>
      <c r="L77" s="368"/>
      <c r="M77" s="368"/>
      <c r="N77" s="368"/>
      <c r="O77" s="368"/>
      <c r="P77" s="458"/>
      <c r="Q77" s="281"/>
      <c r="R77" s="281"/>
      <c r="S77" s="281"/>
      <c r="T77" s="281"/>
      <c r="U77" s="281"/>
      <c r="V77" s="281"/>
      <c r="W77" s="281"/>
      <c r="X77" s="281"/>
      <c r="Y77" s="281"/>
      <c r="Z77" s="459"/>
    </row>
    <row r="78" spans="1:26" ht="15.75" customHeight="1">
      <c r="A78" s="330"/>
      <c r="B78" s="319"/>
      <c r="C78" s="320"/>
      <c r="D78" s="320"/>
      <c r="E78" s="320"/>
      <c r="F78" s="320"/>
      <c r="G78" s="320"/>
      <c r="H78" s="320"/>
      <c r="I78" s="320"/>
      <c r="J78" s="321"/>
      <c r="K78" s="326"/>
      <c r="L78" s="368"/>
      <c r="M78" s="368"/>
      <c r="N78" s="368"/>
      <c r="O78" s="368"/>
      <c r="P78" s="458"/>
      <c r="Q78" s="281"/>
      <c r="R78" s="281"/>
      <c r="S78" s="281"/>
      <c r="T78" s="281"/>
      <c r="U78" s="281"/>
      <c r="V78" s="281"/>
      <c r="W78" s="281"/>
      <c r="X78" s="281"/>
      <c r="Y78" s="281"/>
      <c r="Z78" s="459"/>
    </row>
    <row r="79" spans="1:26" ht="15.75" customHeight="1">
      <c r="A79" s="330"/>
      <c r="B79" s="319"/>
      <c r="C79" s="320"/>
      <c r="D79" s="320"/>
      <c r="E79" s="320"/>
      <c r="F79" s="320"/>
      <c r="G79" s="320"/>
      <c r="H79" s="320"/>
      <c r="I79" s="320"/>
      <c r="J79" s="321"/>
      <c r="K79" s="326"/>
      <c r="L79" s="368"/>
      <c r="M79" s="368"/>
      <c r="N79" s="368"/>
      <c r="O79" s="368"/>
      <c r="P79" s="458"/>
      <c r="Q79" s="281"/>
      <c r="R79" s="281"/>
      <c r="S79" s="281"/>
      <c r="T79" s="281"/>
      <c r="U79" s="281"/>
      <c r="V79" s="281"/>
      <c r="W79" s="281"/>
      <c r="X79" s="281"/>
      <c r="Y79" s="281"/>
      <c r="Z79" s="459"/>
    </row>
    <row r="80" spans="1:26" ht="15.75" customHeight="1">
      <c r="A80" s="330"/>
      <c r="B80" s="319"/>
      <c r="C80" s="320"/>
      <c r="D80" s="320"/>
      <c r="E80" s="320"/>
      <c r="F80" s="320"/>
      <c r="G80" s="320"/>
      <c r="H80" s="320"/>
      <c r="I80" s="320"/>
      <c r="J80" s="321"/>
      <c r="K80" s="326"/>
      <c r="L80" s="368"/>
      <c r="M80" s="368"/>
      <c r="N80" s="368"/>
      <c r="O80" s="368"/>
      <c r="P80" s="458"/>
      <c r="Q80" s="281"/>
      <c r="R80" s="281"/>
      <c r="S80" s="281"/>
      <c r="T80" s="281"/>
      <c r="U80" s="281"/>
      <c r="V80" s="281"/>
      <c r="W80" s="281"/>
      <c r="X80" s="281"/>
      <c r="Y80" s="281"/>
      <c r="Z80" s="459"/>
    </row>
    <row r="81" spans="1:26" ht="15.75" customHeight="1">
      <c r="A81" s="330"/>
      <c r="B81" s="319"/>
      <c r="C81" s="320"/>
      <c r="D81" s="320"/>
      <c r="E81" s="320"/>
      <c r="F81" s="320"/>
      <c r="G81" s="320"/>
      <c r="H81" s="320"/>
      <c r="I81" s="320"/>
      <c r="J81" s="321"/>
      <c r="K81" s="326"/>
      <c r="L81" s="368"/>
      <c r="M81" s="368"/>
      <c r="N81" s="368"/>
      <c r="O81" s="368"/>
      <c r="P81" s="458"/>
      <c r="Q81" s="281"/>
      <c r="R81" s="281"/>
      <c r="S81" s="281"/>
      <c r="T81" s="281"/>
      <c r="U81" s="281"/>
      <c r="V81" s="281"/>
      <c r="W81" s="281"/>
      <c r="X81" s="281"/>
      <c r="Y81" s="281"/>
      <c r="Z81" s="459"/>
    </row>
    <row r="82" spans="1:26" ht="15.75" customHeight="1" thickBot="1">
      <c r="A82" s="331"/>
      <c r="B82" s="322"/>
      <c r="C82" s="323"/>
      <c r="D82" s="323"/>
      <c r="E82" s="323"/>
      <c r="F82" s="323"/>
      <c r="G82" s="323"/>
      <c r="H82" s="323"/>
      <c r="I82" s="323"/>
      <c r="J82" s="324"/>
      <c r="K82" s="328"/>
      <c r="L82" s="369"/>
      <c r="M82" s="369"/>
      <c r="N82" s="369"/>
      <c r="O82" s="369"/>
      <c r="P82" s="458"/>
      <c r="Q82" s="281"/>
      <c r="R82" s="281"/>
      <c r="S82" s="281"/>
      <c r="T82" s="281"/>
      <c r="U82" s="281"/>
      <c r="V82" s="281"/>
      <c r="W82" s="281"/>
      <c r="X82" s="281"/>
      <c r="Y82" s="281"/>
      <c r="Z82" s="459"/>
    </row>
    <row r="83" spans="1:26" ht="15.75" customHeight="1">
      <c r="P83" s="458"/>
      <c r="Q83" s="281"/>
      <c r="R83" s="281"/>
      <c r="S83" s="281"/>
      <c r="T83" s="281"/>
      <c r="U83" s="281"/>
      <c r="V83" s="281"/>
      <c r="W83" s="281"/>
      <c r="X83" s="281"/>
      <c r="Y83" s="281"/>
      <c r="Z83" s="459"/>
    </row>
    <row r="84" spans="1:26" ht="15.75" customHeight="1">
      <c r="P84" s="458"/>
      <c r="Q84" s="281"/>
      <c r="R84" s="281"/>
      <c r="S84" s="281"/>
      <c r="T84" s="281"/>
      <c r="U84" s="281"/>
      <c r="V84" s="281"/>
      <c r="W84" s="281"/>
      <c r="X84" s="281"/>
      <c r="Y84" s="281"/>
      <c r="Z84" s="459"/>
    </row>
    <row r="85" spans="1:26" ht="15.75" customHeight="1">
      <c r="P85" s="458"/>
      <c r="Q85" s="281"/>
      <c r="R85" s="281"/>
      <c r="S85" s="281"/>
      <c r="T85" s="281"/>
      <c r="U85" s="281"/>
      <c r="V85" s="281"/>
      <c r="W85" s="281"/>
      <c r="X85" s="281"/>
      <c r="Y85" s="281"/>
      <c r="Z85" s="459"/>
    </row>
    <row r="86" spans="1:26" ht="15.75" customHeight="1">
      <c r="P86" s="458"/>
      <c r="Q86" s="281"/>
      <c r="R86" s="281"/>
      <c r="S86" s="281"/>
      <c r="T86" s="281"/>
      <c r="U86" s="281"/>
      <c r="V86" s="281"/>
      <c r="W86" s="281"/>
      <c r="X86" s="281"/>
      <c r="Y86" s="281"/>
      <c r="Z86" s="459"/>
    </row>
    <row r="87" spans="1:26" ht="15.75" customHeight="1">
      <c r="P87" s="458"/>
      <c r="Q87" s="281"/>
      <c r="R87" s="281"/>
      <c r="S87" s="281"/>
      <c r="T87" s="281"/>
      <c r="U87" s="281"/>
      <c r="V87" s="281"/>
      <c r="W87" s="281"/>
      <c r="X87" s="281"/>
      <c r="Y87" s="281"/>
      <c r="Z87" s="459"/>
    </row>
    <row r="88" spans="1:26" ht="15.75" customHeight="1">
      <c r="P88" s="458"/>
      <c r="Q88" s="281"/>
      <c r="R88" s="281"/>
      <c r="S88" s="281"/>
      <c r="T88" s="281"/>
      <c r="U88" s="281"/>
      <c r="V88" s="281"/>
      <c r="W88" s="281"/>
      <c r="X88" s="281"/>
      <c r="Y88" s="281"/>
      <c r="Z88" s="459"/>
    </row>
    <row r="89" spans="1:26" ht="15.75" customHeight="1">
      <c r="P89" s="458"/>
      <c r="Q89" s="281"/>
      <c r="R89" s="281"/>
      <c r="S89" s="281"/>
      <c r="T89" s="281"/>
      <c r="U89" s="281"/>
      <c r="V89" s="281"/>
      <c r="W89" s="281"/>
      <c r="X89" s="281"/>
      <c r="Y89" s="281"/>
      <c r="Z89" s="459"/>
    </row>
    <row r="90" spans="1:26" ht="15.75" customHeight="1">
      <c r="P90" s="458"/>
      <c r="Q90" s="281"/>
      <c r="R90" s="281"/>
      <c r="S90" s="281"/>
      <c r="T90" s="281"/>
      <c r="U90" s="281"/>
      <c r="V90" s="281"/>
      <c r="W90" s="281"/>
      <c r="X90" s="281"/>
      <c r="Y90" s="281"/>
      <c r="Z90" s="459"/>
    </row>
    <row r="91" spans="1:26" ht="15.75" customHeight="1">
      <c r="P91" s="458"/>
      <c r="Q91" s="281"/>
      <c r="R91" s="281"/>
      <c r="S91" s="281"/>
      <c r="T91" s="281"/>
      <c r="U91" s="281"/>
      <c r="V91" s="281"/>
      <c r="W91" s="281"/>
      <c r="X91" s="281"/>
      <c r="Y91" s="281"/>
      <c r="Z91" s="459"/>
    </row>
    <row r="92" spans="1:26" ht="15.75" customHeight="1">
      <c r="P92" s="458"/>
      <c r="Q92" s="281"/>
      <c r="R92" s="281"/>
      <c r="S92" s="281"/>
      <c r="T92" s="281"/>
      <c r="U92" s="281"/>
      <c r="V92" s="281"/>
      <c r="W92" s="281"/>
      <c r="X92" s="281"/>
      <c r="Y92" s="281"/>
      <c r="Z92" s="459"/>
    </row>
    <row r="93" spans="1:26" ht="15.75" customHeight="1">
      <c r="P93" s="458"/>
      <c r="Q93" s="281"/>
      <c r="R93" s="281"/>
      <c r="S93" s="281"/>
      <c r="T93" s="281"/>
      <c r="U93" s="281"/>
      <c r="V93" s="281"/>
      <c r="W93" s="281"/>
      <c r="X93" s="281"/>
      <c r="Y93" s="281"/>
      <c r="Z93" s="459"/>
    </row>
    <row r="94" spans="1:26" ht="15.75" customHeight="1">
      <c r="P94" s="458"/>
      <c r="Q94" s="281"/>
      <c r="R94" s="281"/>
      <c r="S94" s="281"/>
      <c r="T94" s="281"/>
      <c r="U94" s="281"/>
      <c r="V94" s="281"/>
      <c r="W94" s="281"/>
      <c r="X94" s="281"/>
      <c r="Y94" s="281"/>
      <c r="Z94" s="459"/>
    </row>
    <row r="95" spans="1:26" ht="15.75" customHeight="1">
      <c r="P95" s="458"/>
      <c r="Q95" s="281"/>
      <c r="R95" s="281"/>
      <c r="S95" s="281"/>
      <c r="T95" s="281"/>
      <c r="U95" s="281"/>
      <c r="V95" s="281"/>
      <c r="W95" s="281"/>
      <c r="X95" s="281"/>
      <c r="Y95" s="281"/>
      <c r="Z95" s="459"/>
    </row>
    <row r="96" spans="1:26" ht="15.75" customHeight="1">
      <c r="P96" s="458"/>
      <c r="Q96" s="281"/>
      <c r="R96" s="281"/>
      <c r="S96" s="281"/>
      <c r="T96" s="281"/>
      <c r="U96" s="281"/>
      <c r="V96" s="281"/>
      <c r="W96" s="281"/>
      <c r="X96" s="281"/>
      <c r="Y96" s="281"/>
      <c r="Z96" s="459"/>
    </row>
    <row r="97" spans="16:26" ht="15.75" customHeight="1">
      <c r="P97" s="458"/>
      <c r="Q97" s="281"/>
      <c r="R97" s="281"/>
      <c r="S97" s="281"/>
      <c r="T97" s="281"/>
      <c r="U97" s="281"/>
      <c r="V97" s="281"/>
      <c r="W97" s="281"/>
      <c r="X97" s="281"/>
      <c r="Y97" s="281"/>
      <c r="Z97" s="459"/>
    </row>
    <row r="98" spans="16:26" ht="15.75" customHeight="1">
      <c r="P98" s="458"/>
      <c r="Q98" s="281"/>
      <c r="R98" s="281"/>
      <c r="S98" s="281"/>
      <c r="T98" s="281"/>
      <c r="U98" s="281"/>
      <c r="V98" s="281"/>
      <c r="W98" s="281"/>
      <c r="X98" s="281"/>
      <c r="Y98" s="281"/>
      <c r="Z98" s="459"/>
    </row>
    <row r="99" spans="16:26" ht="15.75" customHeight="1">
      <c r="P99" s="458"/>
      <c r="Q99" s="281"/>
      <c r="R99" s="281"/>
      <c r="S99" s="281"/>
      <c r="T99" s="281"/>
      <c r="U99" s="281"/>
      <c r="V99" s="281"/>
      <c r="W99" s="281"/>
      <c r="X99" s="281"/>
      <c r="Y99" s="281"/>
      <c r="Z99" s="459"/>
    </row>
    <row r="100" spans="16:26" ht="15.75" customHeight="1" thickBot="1">
      <c r="P100" s="460"/>
      <c r="Q100" s="461"/>
      <c r="R100" s="461"/>
      <c r="S100" s="461"/>
      <c r="T100" s="461"/>
      <c r="U100" s="461"/>
      <c r="V100" s="461"/>
      <c r="W100" s="461"/>
      <c r="X100" s="461"/>
      <c r="Y100" s="461"/>
      <c r="Z100" s="462"/>
    </row>
  </sheetData>
  <sheetProtection algorithmName="SHA-512" hashValue="KI5bsXinOeusBRl7Oc17NHSgJC6uoMxYDlt5YkkE/k4iZWn4/hys0JdrPm+Hk4zA61z+b8xg0Nh7iCyuwOovMw==" saltValue="wiD5iv9AvwiLPbDmtknrYw==" spinCount="100000" sheet="1" objects="1" scenarios="1"/>
  <mergeCells count="127">
    <mergeCell ref="P1:W2"/>
    <mergeCell ref="X1:Z2"/>
    <mergeCell ref="P3:Z44"/>
    <mergeCell ref="P45:Z100"/>
    <mergeCell ref="F28:G28"/>
    <mergeCell ref="B33:G33"/>
    <mergeCell ref="L75:O75"/>
    <mergeCell ref="L76:O82"/>
    <mergeCell ref="B67:C67"/>
    <mergeCell ref="B68:C68"/>
    <mergeCell ref="B45:J45"/>
    <mergeCell ref="F17:G17"/>
    <mergeCell ref="J15:J17"/>
    <mergeCell ref="F18:G18"/>
    <mergeCell ref="H18:J18"/>
    <mergeCell ref="B73:J73"/>
    <mergeCell ref="J29:J32"/>
    <mergeCell ref="B41:D42"/>
    <mergeCell ref="E41:E42"/>
    <mergeCell ref="F39:I39"/>
    <mergeCell ref="B69:C69"/>
    <mergeCell ref="L62:O67"/>
    <mergeCell ref="F51:G51"/>
    <mergeCell ref="F52:G52"/>
    <mergeCell ref="A4:A9"/>
    <mergeCell ref="A11:A18"/>
    <mergeCell ref="F32:G32"/>
    <mergeCell ref="A21:A32"/>
    <mergeCell ref="A35:A42"/>
    <mergeCell ref="A45:A52"/>
    <mergeCell ref="A55:A60"/>
    <mergeCell ref="A63:A71"/>
    <mergeCell ref="L70:O70"/>
    <mergeCell ref="L71:O71"/>
    <mergeCell ref="F26:G26"/>
    <mergeCell ref="H65:I67"/>
    <mergeCell ref="J69:J71"/>
    <mergeCell ref="J65:J67"/>
    <mergeCell ref="H64:I64"/>
    <mergeCell ref="H68:I68"/>
    <mergeCell ref="F41:G41"/>
    <mergeCell ref="F12:G12"/>
    <mergeCell ref="F6:G6"/>
    <mergeCell ref="F48:G48"/>
    <mergeCell ref="F49:G49"/>
    <mergeCell ref="F46:G46"/>
    <mergeCell ref="J6:K6"/>
    <mergeCell ref="F50:G50"/>
    <mergeCell ref="H63:J63"/>
    <mergeCell ref="H69:I71"/>
    <mergeCell ref="B55:J55"/>
    <mergeCell ref="F56:J56"/>
    <mergeCell ref="B56:E56"/>
    <mergeCell ref="B57:D57"/>
    <mergeCell ref="B58:D58"/>
    <mergeCell ref="B59:D59"/>
    <mergeCell ref="B60:D60"/>
    <mergeCell ref="B63:F63"/>
    <mergeCell ref="B64:C64"/>
    <mergeCell ref="B65:C65"/>
    <mergeCell ref="B66:C66"/>
    <mergeCell ref="H7:I7"/>
    <mergeCell ref="H8:I8"/>
    <mergeCell ref="H9:I9"/>
    <mergeCell ref="B10:O10"/>
    <mergeCell ref="J7:K7"/>
    <mergeCell ref="J8:K8"/>
    <mergeCell ref="J9:K9"/>
    <mergeCell ref="C9:G9"/>
    <mergeCell ref="F42:G42"/>
    <mergeCell ref="F35:G35"/>
    <mergeCell ref="F30:G30"/>
    <mergeCell ref="F31:G31"/>
    <mergeCell ref="F36:G36"/>
    <mergeCell ref="F37:G37"/>
    <mergeCell ref="F25:G25"/>
    <mergeCell ref="F38:I38"/>
    <mergeCell ref="F24:G24"/>
    <mergeCell ref="F16:G16"/>
    <mergeCell ref="L61:O61"/>
    <mergeCell ref="C5:D5"/>
    <mergeCell ref="C6:D6"/>
    <mergeCell ref="C7:D7"/>
    <mergeCell ref="C8:D8"/>
    <mergeCell ref="L4:O9"/>
    <mergeCell ref="H4:K4"/>
    <mergeCell ref="L41:O41"/>
    <mergeCell ref="L42:O42"/>
    <mergeCell ref="L46:O46"/>
    <mergeCell ref="L47:O53"/>
    <mergeCell ref="L56:O56"/>
    <mergeCell ref="F11:G11"/>
    <mergeCell ref="F13:G13"/>
    <mergeCell ref="F14:G14"/>
    <mergeCell ref="L31:O31"/>
    <mergeCell ref="L32:O38"/>
    <mergeCell ref="B35:E35"/>
    <mergeCell ref="F47:G47"/>
    <mergeCell ref="F21:G21"/>
    <mergeCell ref="F40:G40"/>
    <mergeCell ref="H6:I6"/>
    <mergeCell ref="F27:G27"/>
    <mergeCell ref="F15:G15"/>
    <mergeCell ref="B74:J82"/>
    <mergeCell ref="K11:K82"/>
    <mergeCell ref="A73:A82"/>
    <mergeCell ref="E7:G8"/>
    <mergeCell ref="M3:O3"/>
    <mergeCell ref="M2:O2"/>
    <mergeCell ref="M1:O1"/>
    <mergeCell ref="B1:L3"/>
    <mergeCell ref="F5:G5"/>
    <mergeCell ref="B4:G4"/>
    <mergeCell ref="H5:I5"/>
    <mergeCell ref="J5:K5"/>
    <mergeCell ref="L27:O27"/>
    <mergeCell ref="B11:E11"/>
    <mergeCell ref="B21:E21"/>
    <mergeCell ref="L11:O11"/>
    <mergeCell ref="L12:O12"/>
    <mergeCell ref="F22:G22"/>
    <mergeCell ref="F23:G23"/>
    <mergeCell ref="J40:J42"/>
    <mergeCell ref="L16:O16"/>
    <mergeCell ref="L17:O23"/>
    <mergeCell ref="L26:O26"/>
    <mergeCell ref="L57:O57"/>
  </mergeCells>
  <pageMargins left="0.7" right="0.7" top="0.75" bottom="0.75" header="0.3" footer="0.3"/>
  <pageSetup scale="25"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11E6E48-297B-4044-9E36-EE2D6442B568}">
          <x14:formula1>
            <xm:f>Norms!$A$1:$A$5</xm:f>
          </x14:formula1>
          <xm:sqref>X1</xm:sqref>
        </x14:dataValidation>
      </x14:dataValidations>
    </ext>
    <ext xmlns:x14="http://schemas.microsoft.com/office/spreadsheetml/2009/9/main" uri="{05C60535-1F16-4fd2-B633-F4F36F0B64E0}">
      <x14:sparklineGroups xmlns:xm="http://schemas.microsoft.com/office/excel/2006/main">
        <x14:sparklineGroup type="column" displayEmptyCellsAs="gap" xr2:uid="{C04396F9-B3B1-4743-8658-CE1897A29207}">
          <x14:colorSeries theme="0" tint="-0.34998626667073579"/>
          <x14:colorNegative rgb="FFD00000"/>
          <x14:colorAxis rgb="FF000000"/>
          <x14:colorMarkers rgb="FFD00000"/>
          <x14:colorFirst rgb="FFD00000"/>
          <x14:colorLast rgb="FFD00000"/>
          <x14:colorHigh rgb="FFD00000"/>
          <x14:colorLow rgb="FFD00000"/>
          <x14:sparklines>
            <x14:sparkline>
              <xm:f>'Data Input'!H58:H60</xm:f>
              <xm:sqref>H61</xm:sqref>
            </x14:sparkline>
          </x14:sparklines>
        </x14:sparklineGroup>
        <x14:sparklineGroup type="column" displayEmptyCellsAs="gap" xr2:uid="{B8B3F7A3-5831-40BB-8A02-EDA3F9C89D45}">
          <x14:colorSeries rgb="FF114E4F"/>
          <x14:colorNegative rgb="FFD00000"/>
          <x14:colorAxis rgb="FF000000"/>
          <x14:colorMarkers rgb="FFD00000"/>
          <x14:colorFirst rgb="FFD00000"/>
          <x14:colorLast rgb="FFD00000"/>
          <x14:colorHigh rgb="FFD00000"/>
          <x14:colorLow rgb="FFD00000"/>
          <x14:sparklines>
            <x14:sparkline>
              <xm:f>'Data Input'!G58:G60</xm:f>
              <xm:sqref>G61</xm:sqref>
            </x14:sparkline>
          </x14:sparklines>
        </x14:sparklineGroup>
      </x14:sparklineGroup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pageSetUpPr fitToPage="1"/>
  </sheetPr>
  <dimension ref="B1:AJ78"/>
  <sheetViews>
    <sheetView tabSelected="1" topLeftCell="A27" zoomScale="60" zoomScaleNormal="60" workbookViewId="0">
      <selection activeCell="M38" sqref="M38"/>
    </sheetView>
  </sheetViews>
  <sheetFormatPr defaultColWidth="14.42578125" defaultRowHeight="15.75" customHeight="1"/>
  <cols>
    <col min="2" max="2" width="27" customWidth="1"/>
    <col min="3" max="3" width="14.85546875" customWidth="1"/>
    <col min="6" max="6" width="17" customWidth="1"/>
    <col min="7" max="7" width="19.5703125" customWidth="1"/>
    <col min="8" max="8" width="20.85546875" customWidth="1"/>
    <col min="9" max="9" width="20.42578125" customWidth="1"/>
    <col min="10" max="10" width="21.7109375" customWidth="1"/>
    <col min="11" max="11" width="19.140625" customWidth="1"/>
    <col min="13" max="13" width="19.5703125" customWidth="1"/>
    <col min="14" max="15" width="8.5703125" customWidth="1"/>
  </cols>
  <sheetData>
    <row r="1" spans="2:36" ht="15.75" customHeight="1">
      <c r="B1" s="217"/>
      <c r="C1" s="218"/>
      <c r="D1" s="218"/>
      <c r="E1" s="218"/>
      <c r="F1" s="218"/>
      <c r="G1" s="218"/>
      <c r="H1" s="218"/>
      <c r="I1" s="341" t="s">
        <v>13</v>
      </c>
      <c r="J1" s="341"/>
      <c r="K1" s="341"/>
      <c r="Q1" s="486" t="s">
        <v>148</v>
      </c>
      <c r="R1" s="487"/>
      <c r="S1" s="487"/>
      <c r="T1" s="487"/>
      <c r="U1" s="487"/>
      <c r="V1" s="487"/>
      <c r="W1" s="487"/>
      <c r="X1" s="487"/>
      <c r="Y1" s="487"/>
      <c r="Z1" s="487"/>
      <c r="AA1" s="487"/>
      <c r="AB1" s="487"/>
      <c r="AC1" s="487"/>
      <c r="AD1" s="487"/>
      <c r="AE1" s="487"/>
      <c r="AF1" s="487"/>
      <c r="AG1" s="487"/>
      <c r="AH1" s="487"/>
      <c r="AI1" s="487"/>
      <c r="AJ1" s="488"/>
    </row>
    <row r="2" spans="2:36" ht="15.75" customHeight="1">
      <c r="B2" s="219"/>
      <c r="C2" s="96"/>
      <c r="D2" s="96"/>
      <c r="E2" s="96"/>
      <c r="F2" s="96"/>
      <c r="G2" s="96"/>
      <c r="H2" s="96"/>
      <c r="I2" s="485" t="s">
        <v>16</v>
      </c>
      <c r="J2" s="485"/>
      <c r="K2" s="485"/>
      <c r="Q2" s="489"/>
      <c r="R2" s="490"/>
      <c r="S2" s="490"/>
      <c r="T2" s="490"/>
      <c r="U2" s="490"/>
      <c r="V2" s="490"/>
      <c r="W2" s="490"/>
      <c r="X2" s="490"/>
      <c r="Y2" s="490"/>
      <c r="Z2" s="490"/>
      <c r="AA2" s="490"/>
      <c r="AB2" s="490"/>
      <c r="AC2" s="490"/>
      <c r="AD2" s="490"/>
      <c r="AE2" s="490"/>
      <c r="AF2" s="490"/>
      <c r="AG2" s="490"/>
      <c r="AH2" s="490"/>
      <c r="AI2" s="490"/>
      <c r="AJ2" s="491"/>
    </row>
    <row r="3" spans="2:36" ht="15.75" customHeight="1">
      <c r="B3" s="219"/>
      <c r="C3" s="96"/>
      <c r="D3" s="96"/>
      <c r="E3" s="96"/>
      <c r="F3" s="96"/>
      <c r="G3" s="96"/>
      <c r="H3" s="96"/>
      <c r="I3" s="485"/>
      <c r="J3" s="485"/>
      <c r="K3" s="485"/>
      <c r="Q3" s="489"/>
      <c r="R3" s="490"/>
      <c r="S3" s="490"/>
      <c r="T3" s="490"/>
      <c r="U3" s="490"/>
      <c r="V3" s="490"/>
      <c r="W3" s="490"/>
      <c r="X3" s="490"/>
      <c r="Y3" s="490"/>
      <c r="Z3" s="490"/>
      <c r="AA3" s="490"/>
      <c r="AB3" s="490"/>
      <c r="AC3" s="490"/>
      <c r="AD3" s="490"/>
      <c r="AE3" s="490"/>
      <c r="AF3" s="490"/>
      <c r="AG3" s="490"/>
      <c r="AH3" s="490"/>
      <c r="AI3" s="490"/>
      <c r="AJ3" s="491"/>
    </row>
    <row r="4" spans="2:36" ht="15.75" customHeight="1">
      <c r="B4" s="600" t="s">
        <v>15</v>
      </c>
      <c r="C4" s="595" t="s">
        <v>149</v>
      </c>
      <c r="D4" s="595"/>
      <c r="E4" s="595"/>
      <c r="F4" s="595"/>
      <c r="G4" s="595"/>
      <c r="H4" s="595"/>
      <c r="I4" s="595"/>
      <c r="J4" s="598"/>
      <c r="K4" s="599"/>
      <c r="Q4" s="489"/>
      <c r="R4" s="490"/>
      <c r="S4" s="490"/>
      <c r="T4" s="490"/>
      <c r="U4" s="490"/>
      <c r="V4" s="490"/>
      <c r="W4" s="490"/>
      <c r="X4" s="490"/>
      <c r="Y4" s="490"/>
      <c r="Z4" s="490"/>
      <c r="AA4" s="490"/>
      <c r="AB4" s="490"/>
      <c r="AC4" s="490"/>
      <c r="AD4" s="490"/>
      <c r="AE4" s="490"/>
      <c r="AF4" s="490"/>
      <c r="AG4" s="490"/>
      <c r="AH4" s="490"/>
      <c r="AI4" s="490"/>
      <c r="AJ4" s="491"/>
    </row>
    <row r="5" spans="2:36" ht="15.75" customHeight="1">
      <c r="B5" s="600"/>
      <c r="C5" s="595"/>
      <c r="D5" s="595"/>
      <c r="E5" s="595"/>
      <c r="F5" s="595"/>
      <c r="G5" s="595"/>
      <c r="H5" s="595"/>
      <c r="I5" s="595"/>
      <c r="J5" s="596"/>
      <c r="K5" s="597"/>
      <c r="Q5" s="489"/>
      <c r="R5" s="490"/>
      <c r="S5" s="490"/>
      <c r="T5" s="490"/>
      <c r="U5" s="490"/>
      <c r="V5" s="490"/>
      <c r="W5" s="490"/>
      <c r="X5" s="490"/>
      <c r="Y5" s="490"/>
      <c r="Z5" s="490"/>
      <c r="AA5" s="490"/>
      <c r="AB5" s="490"/>
      <c r="AC5" s="490"/>
      <c r="AD5" s="490"/>
      <c r="AE5" s="490"/>
      <c r="AF5" s="490"/>
      <c r="AG5" s="490"/>
      <c r="AH5" s="490"/>
      <c r="AI5" s="490"/>
      <c r="AJ5" s="491"/>
    </row>
    <row r="6" spans="2:36" ht="57.75" customHeight="1" thickBot="1">
      <c r="B6" s="600"/>
      <c r="C6" s="595"/>
      <c r="D6" s="595"/>
      <c r="E6" s="595"/>
      <c r="F6" s="595"/>
      <c r="G6" s="595"/>
      <c r="H6" s="595"/>
      <c r="I6" s="595"/>
      <c r="J6" s="561"/>
      <c r="K6" s="562"/>
      <c r="Q6" s="494" t="s">
        <v>150</v>
      </c>
      <c r="R6" s="492"/>
      <c r="S6" s="492"/>
      <c r="T6" s="492"/>
      <c r="U6" s="492"/>
      <c r="V6" s="492"/>
      <c r="W6" s="492"/>
      <c r="X6" s="492"/>
      <c r="Y6" s="492"/>
      <c r="Z6" s="492"/>
      <c r="AA6" s="492" t="s">
        <v>151</v>
      </c>
      <c r="AB6" s="492"/>
      <c r="AC6" s="492"/>
      <c r="AD6" s="492"/>
      <c r="AE6" s="492"/>
      <c r="AF6" s="492"/>
      <c r="AG6" s="492"/>
      <c r="AH6" s="492"/>
      <c r="AI6" s="492"/>
      <c r="AJ6" s="493"/>
    </row>
    <row r="7" spans="2:36" ht="20.100000000000001" customHeight="1">
      <c r="B7" s="148" t="s">
        <v>152</v>
      </c>
      <c r="C7" s="593" t="str">
        <f>'Data Input'!C5</f>
        <v>N/A</v>
      </c>
      <c r="D7" s="593"/>
      <c r="E7" s="593"/>
      <c r="F7" s="150" t="s">
        <v>153</v>
      </c>
      <c r="G7" s="126" t="str">
        <f>'Data Input'!C8</f>
        <v>N/A</v>
      </c>
      <c r="H7" s="150" t="s">
        <v>154</v>
      </c>
      <c r="I7" s="255" t="str">
        <f>'Data Input'!F5</f>
        <v>N/A</v>
      </c>
      <c r="J7" s="150" t="s">
        <v>155</v>
      </c>
      <c r="K7" s="121" t="str">
        <f>'Data Input'!C6</f>
        <v>N/A</v>
      </c>
      <c r="L7" s="248"/>
      <c r="Q7" s="520" t="str">
        <f>INDEX(Norms!B1:B6, MATCH('Generated Report'!B4,Norms!A1:A6,0))</f>
        <v>Quad Strength:
Grindem et al, 2016 showed their was a 84% reduction in injury risk if quadriceps LSI criteria was met as part of a test battery. The risk of another ACL injury was reduced by 3% for every 1% increase in quadricep LSI . Arhoset al, 2020 also found there was a reduction in the risk of early onset symptomatic osteoarthritis after ACLR. The risk was decreased by 4% for every 1% increase. Grindem et al, 2016 provided an average quadriceps LSI of 84.4% (±15.2) in their cohort, however this was tested on isokinetics at 60 d/sec. Sinacore et al, 2017 had simliar findings when quads were tested isometrically with a handheld dynamometer.
Test battery that showed 84% reduction in re-injury after ACLR (Grindem et al, 2016), and 2.5% re-injury rate after 2 years from surgery (Arundale et al, 2018):
- Quadriceps LSI: &gt;90%
- 4 single leg hop tests: &gt;90%
- KOOS-ADL: &gt; 90%
- Global Rating Scale: 90%
Sinacore et al, 2017: 56 patients s/p ACLR, isometrics @ 90
Quad LSI (%): 86.5 ± 19.2
Lesnak et al, 2019 assessed the validitiy of handheld dynamometers and found they tend to overestimate strength, and provided normative values for a isometric assessment of quad strength with both a isokinetic dynamometer and a handheld dynamometer.
Healthy, 12 males, 8 females, 23.7 y/o, tegner 6.7, isometric @ 90
- Handheld dynamometer peak torque to bodyweight ratio (Nm/kg or %BW): 3.81±.91 or 127%±30%
- Isokinetic Dynamometer peak torque to bodyweight ratio (Nm/kg or %BW): 3.57±.61 or 119%±20%
van Melick et al, 2022 reviewed norms across various cutting sports however their data was primarily isokinetics across different speeds, or the isometric values were not scaled to bodyweight. These values are in the referenced article on the "info" tab as well as www.aclreference.nl.
Researchers at the University of Virginia also provided a website to enter data to compare where your patient is in their ACL recovery compared to a large data set. You may enter and compare your data at www.acldashboard.com
Hamstring Strength:
Hamstring strength symmetry has not been found to be predictive of injury or re-injury, however it is a component ot algorithm-based rehab which has been shown to reduce re-injury rates compared to traditional rehab. Whiteley et al, 2012 assessed reliability of HHD testing for hamstring and provided norms across different positions. Martin et al, 2022 graded measurement of knee flexors an "A" level recommendation in their clinical practice guideline:
216 males, professional soccer, healthy
- Isometric hamstring, seated, knee at 30 deg:
   - Right vs. left LSI (%): 104
   - Peak force (kg/kg): .49
 - Eccentric hamstring (break test), prone:
   - Right vs. left LSI (%): 104%
   - Peak force (kg/kg): .47
 - Concentric hamstring, 60 d/sec:
   - Right vs. left LSI (%): 100%
   - Peak torque to bodyweight (Nm/kg or %BW): 1.76 or 59%
 - Eccentric hamstring, 60 d/sec:
   - Right vs. left LSI (%): 99%
   - Peak torque to bodyweight (Nm/kg or %BW): 2.54 or 85%
Larson et al, 2022 assessed hamstring strength measures by HHD reliability, and provided norms for 20 healthy recreationally active individuals (11 males, 9 females) in various positions:
- Seated, make test, device fixated against tabe leg, 5 cm above malleoli
   - Dominant vs. non-dominant LSI (%): 108-118 (SEM = up to 15%)
   - Dominant leg peak torque(Nm/kg or /%BW): 1.10±..15 or 37%±5%
   - Non-dominant leg peak torque(Nm/kg or %BW): 1.01±..47 or 34%±16%
- Prone, make test, no fixation, device 5 cm above malleoli
   - Dominant vs. Non-dominant LSI (%): 94-109% (SEM = up to 14%)
   - Dominant leg peak torque(Nm/kg or %BW): .89±..29 or 30%±9.7%
   - Non-dominant leg peak torque(Nm/kg or %BW): .90±..34 or 30%±11.3%</v>
      </c>
      <c r="R7" s="521"/>
      <c r="S7" s="521"/>
      <c r="T7" s="521"/>
      <c r="U7" s="521"/>
      <c r="V7" s="521"/>
      <c r="W7" s="521"/>
      <c r="X7" s="521"/>
      <c r="Y7" s="521"/>
      <c r="Z7" s="522"/>
      <c r="AA7" s="495" t="str">
        <f>INDEX(Norms!C1:C6, MATCH('Generated Report'!B4,Norms!A1:A6,0))</f>
        <v>Lower Extremity Force Plate Testing: Countermovement Jump
There are few, if any, studies showing predictive abilities of countermovement jump kinetics to predict injury or re-injury. Most of the research regarding injuries is about those who are already injured or had a history of injury. Normative values from such studies may be useful to practitioners when making decisions.
Read et al, 2020 studied a group of professional football players and provided norms for peak power and assymetries at specific time points:
166 ACLR, 204 health, pro soccer, male, 24 y/o:
Peak power (W/kg):
- ACLR &lt;6 monts post-op: 44.2±.6.1 (42.0-46.5)
- ACLR between 6-9 months post-op: 46.7±.6.3 (45.1-48.2)
- ACLR greater than 9 months post-op: 46.4±.6.2 (44.7-48.1)
- Healthy controls 50.4±.4.9 (49.7-51.1)
Eccentric deceleration impulse Asymmetry (% toward uninjured side):
- ACLR &lt;6 monts post-op: 10.4±7.2
- ACLR between 6-9 months post-op: 10.2±6.2
- ACLR greater than 9 months post-op: 8.5±5.8
- Healthy controls 6.0±4.5
Concentric Impulse Asymmetry (% toward uninjured side):
- ACLR &lt;6 monts post-op: 11.3±.5.8
- ACLR between 6-9 months post-op: 9.6±.5.6
- ACLR greater than 9 months post-op: 7.4±.5.1
- Healthy controls 2.8±.1.8
Peak landing force (not impulse) asymmetry (% toward uninjured side):
- ACLR &lt;6 monts post-op: 15.8±.12.4
- ACLR between 6-9 months post-op: 13.8±.11.3
- ACLR greater than 9 months post-op: 11.2±.8.8
- Healthy controls 8.7±.6.6
Kotsifaki et al, 2023 reported similar findings, but also provided coefficient of varance for each phase. This means that aysmmetries below the CVs may be natural variability of the movement and not true abnormal movement.
126 ACLR, 532 healthy, male, 25 y/o
Eccentric Impulse Asymmetry (%  toward uninjured side):
- Coefficient of variability: 13-15%
- ACLR: 4±13
- Healthy: 4±14
Concentric Impulse Asymmetry (%  toward uninjured side):
- Coefficient of variability: 7-8%
- ACLR: 7±7
- Healthy: 1±7
Peak landing force (not impulse) asymmetry (% toward injured side):
- Coefficient of variability: 19-22%
- ACLR: 10±20
- Healthy: 1±19
Collings et al, 2021 investigated CMJ differences in jumping and landing metrics, and found no differences between those who had a prior hamstring within the past 12 months (26 female, pro Australian football, 21 y/o).
van Melick et al, 2024 reviewed norms across various sports for various jumps. These values are in the referenced article on the "info" tab as well as www.aclreference.nl.</v>
      </c>
      <c r="AB7" s="495"/>
      <c r="AC7" s="495"/>
      <c r="AD7" s="495"/>
      <c r="AE7" s="495"/>
      <c r="AF7" s="495"/>
      <c r="AG7" s="495"/>
      <c r="AH7" s="495"/>
      <c r="AI7" s="495"/>
      <c r="AJ7" s="496"/>
    </row>
    <row r="8" spans="2:36" s="2" customFormat="1" ht="34.5" customHeight="1" thickBot="1">
      <c r="B8" s="149" t="s">
        <v>156</v>
      </c>
      <c r="C8" s="594" t="str">
        <f>'Data Input'!C9</f>
        <v>N/A</v>
      </c>
      <c r="D8" s="594"/>
      <c r="E8" s="594"/>
      <c r="F8" s="151" t="s">
        <v>157</v>
      </c>
      <c r="G8" s="45" t="str">
        <f>'Data Input'!C7</f>
        <v>N/A</v>
      </c>
      <c r="H8" s="151" t="s">
        <v>158</v>
      </c>
      <c r="I8" s="46" t="str">
        <f>'Data Input'!J5</f>
        <v>N/A</v>
      </c>
      <c r="J8" s="152" t="s">
        <v>159</v>
      </c>
      <c r="K8" s="122" t="str">
        <f ca="1">'Data Input'!J9</f>
        <v>N/A</v>
      </c>
      <c r="L8" s="84"/>
      <c r="Q8" s="523"/>
      <c r="R8" s="495"/>
      <c r="S8" s="495"/>
      <c r="T8" s="495"/>
      <c r="U8" s="495"/>
      <c r="V8" s="495"/>
      <c r="W8" s="495"/>
      <c r="X8" s="495"/>
      <c r="Y8" s="495"/>
      <c r="Z8" s="496"/>
      <c r="AA8" s="495"/>
      <c r="AB8" s="495"/>
      <c r="AC8" s="495"/>
      <c r="AD8" s="495"/>
      <c r="AE8" s="495"/>
      <c r="AF8" s="495"/>
      <c r="AG8" s="495"/>
      <c r="AH8" s="495"/>
      <c r="AI8" s="495"/>
      <c r="AJ8" s="496"/>
    </row>
    <row r="9" spans="2:36" ht="20.100000000000001" customHeight="1" thickBot="1">
      <c r="B9" s="120"/>
      <c r="C9" s="47"/>
      <c r="D9" s="48"/>
      <c r="E9" s="48"/>
      <c r="F9" s="48"/>
      <c r="G9" s="49"/>
      <c r="H9" s="49"/>
      <c r="I9" s="49"/>
      <c r="J9" s="50"/>
      <c r="K9" s="5"/>
      <c r="L9" s="248"/>
      <c r="Q9" s="523"/>
      <c r="R9" s="495"/>
      <c r="S9" s="495"/>
      <c r="T9" s="495"/>
      <c r="U9" s="495"/>
      <c r="V9" s="495"/>
      <c r="W9" s="495"/>
      <c r="X9" s="495"/>
      <c r="Y9" s="495"/>
      <c r="Z9" s="496"/>
      <c r="AA9" s="495"/>
      <c r="AB9" s="495"/>
      <c r="AC9" s="495"/>
      <c r="AD9" s="495"/>
      <c r="AE9" s="495"/>
      <c r="AF9" s="495"/>
      <c r="AG9" s="495"/>
      <c r="AH9" s="495"/>
      <c r="AI9" s="495"/>
      <c r="AJ9" s="496"/>
    </row>
    <row r="10" spans="2:36" ht="20.100000000000001" customHeight="1">
      <c r="B10" s="563" t="s">
        <v>40</v>
      </c>
      <c r="C10" s="564"/>
      <c r="D10" s="565"/>
      <c r="E10" s="51"/>
      <c r="F10" s="603" t="str">
        <f>INDEX('Dropdown format'!B:B,MATCH($B$4,'Dropdown format'!A:A,0))</f>
        <v>Quad and Hamstring Strength</v>
      </c>
      <c r="G10" s="602"/>
      <c r="H10" s="602"/>
      <c r="I10" s="602"/>
      <c r="J10" s="602"/>
      <c r="K10" s="604"/>
      <c r="L10" s="248"/>
      <c r="M10" s="520" t="s">
        <v>160</v>
      </c>
      <c r="N10" s="521"/>
      <c r="O10" s="522"/>
      <c r="P10" s="256"/>
      <c r="Q10" s="523"/>
      <c r="R10" s="495"/>
      <c r="S10" s="495"/>
      <c r="T10" s="495"/>
      <c r="U10" s="495"/>
      <c r="V10" s="495"/>
      <c r="W10" s="495"/>
      <c r="X10" s="495"/>
      <c r="Y10" s="495"/>
      <c r="Z10" s="496"/>
      <c r="AA10" s="495"/>
      <c r="AB10" s="495"/>
      <c r="AC10" s="495"/>
      <c r="AD10" s="495"/>
      <c r="AE10" s="495"/>
      <c r="AF10" s="495"/>
      <c r="AG10" s="495"/>
      <c r="AH10" s="495"/>
      <c r="AI10" s="495"/>
      <c r="AJ10" s="496"/>
    </row>
    <row r="11" spans="2:36" ht="20.100000000000001" customHeight="1">
      <c r="B11" s="566" t="s">
        <v>161</v>
      </c>
      <c r="C11" s="567"/>
      <c r="D11" s="568"/>
      <c r="E11" s="52"/>
      <c r="F11" s="605" t="str">
        <f>INDEX('Dropdown format'!C:C,MATCH($B$4,'Dropdown format'!$A:$A,0))</f>
        <v>Quad strength is the hallmark of a nice healthy knee. Research overwhelmingly agrees it is important in reducing the risk of a re-injury to some surgeries. Overall, people report a higher quality of life and less disability with higher quad strength. Hamstrings need some love too as they can co-contract to stabilize your knee. Not only do these muscles help you decelerate, but also run fast and jump high.</v>
      </c>
      <c r="G11" s="606"/>
      <c r="H11" s="606"/>
      <c r="I11" s="606"/>
      <c r="J11" s="606"/>
      <c r="K11" s="607"/>
      <c r="L11" s="248"/>
      <c r="M11" s="523"/>
      <c r="N11" s="495"/>
      <c r="O11" s="496"/>
      <c r="P11" s="256"/>
      <c r="Q11" s="523"/>
      <c r="R11" s="495"/>
      <c r="S11" s="495"/>
      <c r="T11" s="495"/>
      <c r="U11" s="495"/>
      <c r="V11" s="495"/>
      <c r="W11" s="495"/>
      <c r="X11" s="495"/>
      <c r="Y11" s="495"/>
      <c r="Z11" s="496"/>
      <c r="AA11" s="495"/>
      <c r="AB11" s="495"/>
      <c r="AC11" s="495"/>
      <c r="AD11" s="495"/>
      <c r="AE11" s="495"/>
      <c r="AF11" s="495"/>
      <c r="AG11" s="495"/>
      <c r="AH11" s="495"/>
      <c r="AI11" s="495"/>
      <c r="AJ11" s="496"/>
    </row>
    <row r="12" spans="2:36" ht="20.100000000000001" customHeight="1">
      <c r="B12" s="569"/>
      <c r="C12" s="570"/>
      <c r="D12" s="571"/>
      <c r="E12" s="52"/>
      <c r="F12" s="605"/>
      <c r="G12" s="606"/>
      <c r="H12" s="606"/>
      <c r="I12" s="606"/>
      <c r="J12" s="606"/>
      <c r="K12" s="607"/>
      <c r="L12" s="248"/>
      <c r="M12" s="523"/>
      <c r="N12" s="495"/>
      <c r="O12" s="496"/>
      <c r="P12" s="256"/>
      <c r="Q12" s="523"/>
      <c r="R12" s="495"/>
      <c r="S12" s="495"/>
      <c r="T12" s="495"/>
      <c r="U12" s="495"/>
      <c r="V12" s="495"/>
      <c r="W12" s="495"/>
      <c r="X12" s="495"/>
      <c r="Y12" s="495"/>
      <c r="Z12" s="496"/>
      <c r="AA12" s="495"/>
      <c r="AB12" s="495"/>
      <c r="AC12" s="495"/>
      <c r="AD12" s="495"/>
      <c r="AE12" s="495"/>
      <c r="AF12" s="495"/>
      <c r="AG12" s="495"/>
      <c r="AH12" s="495"/>
      <c r="AI12" s="495"/>
      <c r="AJ12" s="496"/>
    </row>
    <row r="13" spans="2:36" ht="20.100000000000001" customHeight="1">
      <c r="B13" s="569"/>
      <c r="C13" s="570"/>
      <c r="D13" s="571"/>
      <c r="E13" s="52"/>
      <c r="F13" s="605"/>
      <c r="G13" s="606"/>
      <c r="H13" s="606"/>
      <c r="I13" s="606"/>
      <c r="J13" s="606"/>
      <c r="K13" s="607"/>
      <c r="L13" s="248"/>
      <c r="M13" s="523"/>
      <c r="N13" s="495"/>
      <c r="O13" s="496"/>
      <c r="P13" s="256"/>
      <c r="Q13" s="523"/>
      <c r="R13" s="495"/>
      <c r="S13" s="495"/>
      <c r="T13" s="495"/>
      <c r="U13" s="495"/>
      <c r="V13" s="495"/>
      <c r="W13" s="495"/>
      <c r="X13" s="495"/>
      <c r="Y13" s="495"/>
      <c r="Z13" s="496"/>
      <c r="AA13" s="495"/>
      <c r="AB13" s="495"/>
      <c r="AC13" s="495"/>
      <c r="AD13" s="495"/>
      <c r="AE13" s="495"/>
      <c r="AF13" s="495"/>
      <c r="AG13" s="495"/>
      <c r="AH13" s="495"/>
      <c r="AI13" s="495"/>
      <c r="AJ13" s="496"/>
    </row>
    <row r="14" spans="2:36" ht="20.100000000000001" customHeight="1">
      <c r="B14" s="569"/>
      <c r="C14" s="570"/>
      <c r="D14" s="571"/>
      <c r="E14" s="52"/>
      <c r="F14" s="605"/>
      <c r="G14" s="606"/>
      <c r="H14" s="606"/>
      <c r="I14" s="606"/>
      <c r="J14" s="606"/>
      <c r="K14" s="607"/>
      <c r="L14" s="248"/>
      <c r="M14" s="523"/>
      <c r="N14" s="495"/>
      <c r="O14" s="496"/>
      <c r="P14" s="256"/>
      <c r="Q14" s="523"/>
      <c r="R14" s="495"/>
      <c r="S14" s="495"/>
      <c r="T14" s="495"/>
      <c r="U14" s="495"/>
      <c r="V14" s="495"/>
      <c r="W14" s="495"/>
      <c r="X14" s="495"/>
      <c r="Y14" s="495"/>
      <c r="Z14" s="496"/>
      <c r="AA14" s="495"/>
      <c r="AB14" s="495"/>
      <c r="AC14" s="495"/>
      <c r="AD14" s="495"/>
      <c r="AE14" s="495"/>
      <c r="AF14" s="495"/>
      <c r="AG14" s="495"/>
      <c r="AH14" s="495"/>
      <c r="AI14" s="495"/>
      <c r="AJ14" s="496"/>
    </row>
    <row r="15" spans="2:36" ht="20.100000000000001" customHeight="1">
      <c r="B15" s="569"/>
      <c r="C15" s="570"/>
      <c r="D15" s="571"/>
      <c r="E15" s="52"/>
      <c r="F15" s="605"/>
      <c r="G15" s="606"/>
      <c r="H15" s="606"/>
      <c r="I15" s="606"/>
      <c r="J15" s="606"/>
      <c r="K15" s="607"/>
      <c r="L15" s="248"/>
      <c r="M15" s="523"/>
      <c r="N15" s="495"/>
      <c r="O15" s="496"/>
      <c r="P15" s="256"/>
      <c r="Q15" s="523"/>
      <c r="R15" s="495"/>
      <c r="S15" s="495"/>
      <c r="T15" s="495"/>
      <c r="U15" s="495"/>
      <c r="V15" s="495"/>
      <c r="W15" s="495"/>
      <c r="X15" s="495"/>
      <c r="Y15" s="495"/>
      <c r="Z15" s="496"/>
      <c r="AA15" s="495"/>
      <c r="AB15" s="495"/>
      <c r="AC15" s="495"/>
      <c r="AD15" s="495"/>
      <c r="AE15" s="495"/>
      <c r="AF15" s="495"/>
      <c r="AG15" s="495"/>
      <c r="AH15" s="495"/>
      <c r="AI15" s="495"/>
      <c r="AJ15" s="496"/>
    </row>
    <row r="16" spans="2:36" ht="20.100000000000001" customHeight="1" thickBot="1">
      <c r="B16" s="572"/>
      <c r="C16" s="573"/>
      <c r="D16" s="574"/>
      <c r="E16" s="52"/>
      <c r="F16" s="608"/>
      <c r="G16" s="609"/>
      <c r="H16" s="609"/>
      <c r="I16" s="609"/>
      <c r="J16" s="609"/>
      <c r="K16" s="610"/>
      <c r="L16" s="248"/>
      <c r="M16" s="523"/>
      <c r="N16" s="495"/>
      <c r="O16" s="496"/>
      <c r="P16" s="256"/>
      <c r="Q16" s="523"/>
      <c r="R16" s="495"/>
      <c r="S16" s="495"/>
      <c r="T16" s="495"/>
      <c r="U16" s="495"/>
      <c r="V16" s="495"/>
      <c r="W16" s="495"/>
      <c r="X16" s="495"/>
      <c r="Y16" s="495"/>
      <c r="Z16" s="496"/>
      <c r="AA16" s="495"/>
      <c r="AB16" s="495"/>
      <c r="AC16" s="495"/>
      <c r="AD16" s="495"/>
      <c r="AE16" s="495"/>
      <c r="AF16" s="495"/>
      <c r="AG16" s="495"/>
      <c r="AH16" s="495"/>
      <c r="AI16" s="495"/>
      <c r="AJ16" s="496"/>
    </row>
    <row r="17" spans="2:36" ht="20.100000000000001" customHeight="1">
      <c r="B17" s="548">
        <f>'Data Input'!L12</f>
        <v>0</v>
      </c>
      <c r="C17" s="525" t="s">
        <v>58</v>
      </c>
      <c r="D17" s="527"/>
      <c r="E17" s="53"/>
      <c r="F17" s="626" t="str">
        <f>INDEX('Dropdown format'!D:D,MATCH($B$4,'Dropdown format'!$A:$A,0))</f>
        <v>How strong are the quads and hammies of your injured leg compared to your non-injured leg?
Goal: 100%</v>
      </c>
      <c r="G17" s="627"/>
      <c r="H17" s="602" t="str">
        <f>INDEX('Dropdown format'!F:F,MATCH($B$4,'Dropdown format'!$A:$A,0))</f>
        <v>Quad LSI</v>
      </c>
      <c r="I17" s="602"/>
      <c r="J17" s="602" t="str">
        <f>INDEX('Dropdown format'!J:J,MATCH($B$4,'Dropdown format'!$A:$A,0))</f>
        <v>Hamstring LSI</v>
      </c>
      <c r="K17" s="604"/>
      <c r="L17" s="248"/>
      <c r="M17" s="523"/>
      <c r="N17" s="495"/>
      <c r="O17" s="496"/>
      <c r="P17" s="256"/>
      <c r="Q17" s="523"/>
      <c r="R17" s="495"/>
      <c r="S17" s="495"/>
      <c r="T17" s="495"/>
      <c r="U17" s="495"/>
      <c r="V17" s="495"/>
      <c r="W17" s="495"/>
      <c r="X17" s="495"/>
      <c r="Y17" s="495"/>
      <c r="Z17" s="496"/>
      <c r="AA17" s="495"/>
      <c r="AB17" s="495"/>
      <c r="AC17" s="495"/>
      <c r="AD17" s="495"/>
      <c r="AE17" s="495"/>
      <c r="AF17" s="495"/>
      <c r="AG17" s="495"/>
      <c r="AH17" s="495"/>
      <c r="AI17" s="495"/>
      <c r="AJ17" s="496"/>
    </row>
    <row r="18" spans="2:36" ht="20.100000000000001" customHeight="1">
      <c r="B18" s="549"/>
      <c r="C18" s="579">
        <f>IFERROR('Data Input'!L17, "N/A")</f>
        <v>0</v>
      </c>
      <c r="D18" s="580"/>
      <c r="E18" s="54"/>
      <c r="F18" s="628"/>
      <c r="G18" s="629"/>
      <c r="H18" s="585"/>
      <c r="I18" s="586"/>
      <c r="J18" s="588"/>
      <c r="K18" s="589"/>
      <c r="L18" s="248"/>
      <c r="M18" s="523"/>
      <c r="N18" s="495"/>
      <c r="O18" s="496"/>
      <c r="P18" s="256"/>
      <c r="Q18" s="523"/>
      <c r="R18" s="495"/>
      <c r="S18" s="495"/>
      <c r="T18" s="495"/>
      <c r="U18" s="495"/>
      <c r="V18" s="495"/>
      <c r="W18" s="495"/>
      <c r="X18" s="495"/>
      <c r="Y18" s="495"/>
      <c r="Z18" s="496"/>
      <c r="AA18" s="495"/>
      <c r="AB18" s="495"/>
      <c r="AC18" s="495"/>
      <c r="AD18" s="495"/>
      <c r="AE18" s="495"/>
      <c r="AF18" s="495"/>
      <c r="AG18" s="495"/>
      <c r="AH18" s="495"/>
      <c r="AI18" s="495"/>
      <c r="AJ18" s="496"/>
    </row>
    <row r="19" spans="2:36" ht="20.100000000000001" customHeight="1">
      <c r="B19" s="549"/>
      <c r="C19" s="579"/>
      <c r="D19" s="580"/>
      <c r="E19" s="54"/>
      <c r="F19" s="628"/>
      <c r="G19" s="629"/>
      <c r="H19" s="585"/>
      <c r="I19" s="586"/>
      <c r="J19" s="588"/>
      <c r="K19" s="589"/>
      <c r="M19" s="523"/>
      <c r="N19" s="495"/>
      <c r="O19" s="496"/>
      <c r="Q19" s="523"/>
      <c r="R19" s="495"/>
      <c r="S19" s="495"/>
      <c r="T19" s="495"/>
      <c r="U19" s="495"/>
      <c r="V19" s="495"/>
      <c r="W19" s="495"/>
      <c r="X19" s="495"/>
      <c r="Y19" s="495"/>
      <c r="Z19" s="496"/>
      <c r="AA19" s="495"/>
      <c r="AB19" s="495"/>
      <c r="AC19" s="495"/>
      <c r="AD19" s="495"/>
      <c r="AE19" s="495"/>
      <c r="AF19" s="495"/>
      <c r="AG19" s="495"/>
      <c r="AH19" s="495"/>
      <c r="AI19" s="495"/>
      <c r="AJ19" s="496"/>
    </row>
    <row r="20" spans="2:36" ht="20.100000000000001" customHeight="1">
      <c r="B20" s="118" t="s">
        <v>162</v>
      </c>
      <c r="C20" s="579"/>
      <c r="D20" s="580"/>
      <c r="E20" s="54"/>
      <c r="F20" s="628"/>
      <c r="G20" s="629"/>
      <c r="H20" s="585"/>
      <c r="I20" s="586"/>
      <c r="J20" s="588"/>
      <c r="K20" s="589"/>
      <c r="M20" s="523"/>
      <c r="N20" s="495"/>
      <c r="O20" s="496"/>
      <c r="Q20" s="523"/>
      <c r="R20" s="495"/>
      <c r="S20" s="495"/>
      <c r="T20" s="495"/>
      <c r="U20" s="495"/>
      <c r="V20" s="495"/>
      <c r="W20" s="495"/>
      <c r="X20" s="495"/>
      <c r="Y20" s="495"/>
      <c r="Z20" s="496"/>
      <c r="AA20" s="495"/>
      <c r="AB20" s="495"/>
      <c r="AC20" s="495"/>
      <c r="AD20" s="495"/>
      <c r="AE20" s="495"/>
      <c r="AF20" s="495"/>
      <c r="AG20" s="495"/>
      <c r="AH20" s="495"/>
      <c r="AI20" s="495"/>
      <c r="AJ20" s="496"/>
    </row>
    <row r="21" spans="2:36" ht="20.100000000000001" customHeight="1">
      <c r="B21" s="552" t="str">
        <f>'Data Input'!M15</f>
        <v>N/A</v>
      </c>
      <c r="C21" s="579"/>
      <c r="D21" s="580"/>
      <c r="E21" s="54"/>
      <c r="F21" s="628"/>
      <c r="G21" s="629"/>
      <c r="H21" s="585"/>
      <c r="I21" s="586"/>
      <c r="J21" s="588"/>
      <c r="K21" s="589"/>
      <c r="M21" s="523"/>
      <c r="N21" s="495"/>
      <c r="O21" s="496"/>
      <c r="Q21" s="523"/>
      <c r="R21" s="495"/>
      <c r="S21" s="495"/>
      <c r="T21" s="495"/>
      <c r="U21" s="495"/>
      <c r="V21" s="495"/>
      <c r="W21" s="495"/>
      <c r="X21" s="495"/>
      <c r="Y21" s="495"/>
      <c r="Z21" s="496"/>
      <c r="AA21" s="495"/>
      <c r="AB21" s="495"/>
      <c r="AC21" s="495"/>
      <c r="AD21" s="495"/>
      <c r="AE21" s="495"/>
      <c r="AF21" s="495"/>
      <c r="AG21" s="495"/>
      <c r="AH21" s="495"/>
      <c r="AI21" s="495"/>
      <c r="AJ21" s="496"/>
    </row>
    <row r="22" spans="2:36" ht="20.100000000000001" customHeight="1">
      <c r="B22" s="552"/>
      <c r="C22" s="579"/>
      <c r="D22" s="580"/>
      <c r="E22" s="54"/>
      <c r="F22" s="628"/>
      <c r="G22" s="629"/>
      <c r="H22" s="585"/>
      <c r="I22" s="586"/>
      <c r="J22" s="588"/>
      <c r="K22" s="589"/>
      <c r="M22" s="523"/>
      <c r="N22" s="495"/>
      <c r="O22" s="496"/>
      <c r="Q22" s="523"/>
      <c r="R22" s="495"/>
      <c r="S22" s="495"/>
      <c r="T22" s="495"/>
      <c r="U22" s="495"/>
      <c r="V22" s="495"/>
      <c r="W22" s="495"/>
      <c r="X22" s="495"/>
      <c r="Y22" s="495"/>
      <c r="Z22" s="496"/>
      <c r="AA22" s="495"/>
      <c r="AB22" s="495"/>
      <c r="AC22" s="495"/>
      <c r="AD22" s="495"/>
      <c r="AE22" s="495"/>
      <c r="AF22" s="495"/>
      <c r="AG22" s="495"/>
      <c r="AH22" s="495"/>
      <c r="AI22" s="495"/>
      <c r="AJ22" s="496"/>
    </row>
    <row r="23" spans="2:36" ht="20.100000000000001" customHeight="1" thickBot="1">
      <c r="B23" s="119" t="s">
        <v>163</v>
      </c>
      <c r="C23" s="579"/>
      <c r="D23" s="580"/>
      <c r="E23" s="54"/>
      <c r="F23" s="628"/>
      <c r="G23" s="629"/>
      <c r="H23" s="587" t="str">
        <f>INDEX('Dropdown format'!G:G,MATCH($B$4,'Dropdown format'!$A:$A,0))</f>
        <v>N/A</v>
      </c>
      <c r="I23" s="575" t="str">
        <f ca="1">INDEX('Dropdown format'!H:H,MATCH($B$4,'Dropdown format'!$A:$A,0))</f>
        <v>Let's Go!</v>
      </c>
      <c r="J23" s="611" t="str">
        <f>INDEX('Dropdown format'!K:K,MATCH($B$4,'Dropdown format'!$A:$A,0))</f>
        <v>N/A</v>
      </c>
      <c r="K23" s="576" t="str">
        <f ca="1">INDEX('Dropdown format'!L:L,MATCH($B$4,'Dropdown format'!$A:$A,0))</f>
        <v>Crushed it!</v>
      </c>
      <c r="M23" s="524"/>
      <c r="N23" s="497"/>
      <c r="O23" s="498"/>
      <c r="Q23" s="523"/>
      <c r="R23" s="495"/>
      <c r="S23" s="495"/>
      <c r="T23" s="495"/>
      <c r="U23" s="495"/>
      <c r="V23" s="495"/>
      <c r="W23" s="495"/>
      <c r="X23" s="495"/>
      <c r="Y23" s="495"/>
      <c r="Z23" s="496"/>
      <c r="AA23" s="495"/>
      <c r="AB23" s="495"/>
      <c r="AC23" s="495"/>
      <c r="AD23" s="495"/>
      <c r="AE23" s="495"/>
      <c r="AF23" s="495"/>
      <c r="AG23" s="495"/>
      <c r="AH23" s="495"/>
      <c r="AI23" s="495"/>
      <c r="AJ23" s="496"/>
    </row>
    <row r="24" spans="2:36" ht="20.100000000000001" customHeight="1">
      <c r="B24" s="552" t="str">
        <f>'Data Input'!O15</f>
        <v>N/A</v>
      </c>
      <c r="C24" s="579"/>
      <c r="D24" s="580"/>
      <c r="E24" s="54"/>
      <c r="F24" s="628"/>
      <c r="G24" s="629"/>
      <c r="H24" s="587"/>
      <c r="I24" s="575"/>
      <c r="J24" s="611"/>
      <c r="K24" s="576"/>
      <c r="Q24" s="523"/>
      <c r="R24" s="495"/>
      <c r="S24" s="495"/>
      <c r="T24" s="495"/>
      <c r="U24" s="495"/>
      <c r="V24" s="495"/>
      <c r="W24" s="495"/>
      <c r="X24" s="495"/>
      <c r="Y24" s="495"/>
      <c r="Z24" s="496"/>
      <c r="AA24" s="495"/>
      <c r="AB24" s="495"/>
      <c r="AC24" s="495"/>
      <c r="AD24" s="495"/>
      <c r="AE24" s="495"/>
      <c r="AF24" s="495"/>
      <c r="AG24" s="495"/>
      <c r="AH24" s="495"/>
      <c r="AI24" s="495"/>
      <c r="AJ24" s="496"/>
    </row>
    <row r="25" spans="2:36" ht="20.100000000000001" customHeight="1" thickBot="1">
      <c r="B25" s="553"/>
      <c r="C25" s="581"/>
      <c r="D25" s="582"/>
      <c r="E25" s="54"/>
      <c r="F25" s="630"/>
      <c r="G25" s="631"/>
      <c r="H25" s="587"/>
      <c r="I25" s="575"/>
      <c r="J25" s="611"/>
      <c r="K25" s="576"/>
      <c r="Q25" s="523"/>
      <c r="R25" s="495"/>
      <c r="S25" s="495"/>
      <c r="T25" s="495"/>
      <c r="U25" s="495"/>
      <c r="V25" s="495"/>
      <c r="W25" s="495"/>
      <c r="X25" s="495"/>
      <c r="Y25" s="495"/>
      <c r="Z25" s="496"/>
      <c r="AA25" s="495"/>
      <c r="AB25" s="495"/>
      <c r="AC25" s="495"/>
      <c r="AD25" s="495"/>
      <c r="AE25" s="495"/>
      <c r="AF25" s="495"/>
      <c r="AG25" s="495"/>
      <c r="AH25" s="495"/>
      <c r="AI25" s="495"/>
      <c r="AJ25" s="496"/>
    </row>
    <row r="26" spans="2:36" ht="20.100000000000001" customHeight="1">
      <c r="B26" s="548">
        <f>'Data Input'!L27</f>
        <v>0</v>
      </c>
      <c r="C26" s="525" t="s">
        <v>58</v>
      </c>
      <c r="D26" s="527"/>
      <c r="E26" s="53"/>
      <c r="F26" s="626" t="str">
        <f>INDEX('Dropdown format'!M:M,MATCH($B$4,'Dropdown format'!$A:$A,0))</f>
        <v>How strong are your quads compared to your bodyweight? (PT:BW)
Goal: 100-120%</v>
      </c>
      <c r="G26" s="627"/>
      <c r="H26" s="583" t="str">
        <f>INDEX('Dropdown format'!O:O,MATCH($B$4,'Dropdown format'!$A:$A,0))</f>
        <v>Injured Leg</v>
      </c>
      <c r="I26" s="583"/>
      <c r="J26" s="583" t="str">
        <f>INDEX('Dropdown format'!S:S,MATCH($B$4,'Dropdown format'!$A:$A,0))</f>
        <v>Non-injured Leg</v>
      </c>
      <c r="K26" s="584"/>
      <c r="Q26" s="523"/>
      <c r="R26" s="495"/>
      <c r="S26" s="495"/>
      <c r="T26" s="495"/>
      <c r="U26" s="495"/>
      <c r="V26" s="495"/>
      <c r="W26" s="495"/>
      <c r="X26" s="495"/>
      <c r="Y26" s="495"/>
      <c r="Z26" s="496"/>
      <c r="AA26" s="495"/>
      <c r="AB26" s="495"/>
      <c r="AC26" s="495"/>
      <c r="AD26" s="495"/>
      <c r="AE26" s="495"/>
      <c r="AF26" s="495"/>
      <c r="AG26" s="495"/>
      <c r="AH26" s="495"/>
      <c r="AI26" s="495"/>
      <c r="AJ26" s="496"/>
    </row>
    <row r="27" spans="2:36" ht="20.100000000000001" customHeight="1">
      <c r="B27" s="549"/>
      <c r="C27" s="544">
        <f>'Data Input'!L32</f>
        <v>0</v>
      </c>
      <c r="D27" s="545"/>
      <c r="E27" s="55"/>
      <c r="F27" s="628"/>
      <c r="G27" s="629"/>
      <c r="H27" s="585"/>
      <c r="I27" s="586"/>
      <c r="J27" s="588"/>
      <c r="K27" s="589"/>
      <c r="Q27" s="523"/>
      <c r="R27" s="495"/>
      <c r="S27" s="495"/>
      <c r="T27" s="495"/>
      <c r="U27" s="495"/>
      <c r="V27" s="495"/>
      <c r="W27" s="495"/>
      <c r="X27" s="495"/>
      <c r="Y27" s="495"/>
      <c r="Z27" s="496"/>
      <c r="AA27" s="495"/>
      <c r="AB27" s="495"/>
      <c r="AC27" s="495"/>
      <c r="AD27" s="495"/>
      <c r="AE27" s="495"/>
      <c r="AF27" s="495"/>
      <c r="AG27" s="495"/>
      <c r="AH27" s="495"/>
      <c r="AI27" s="495"/>
      <c r="AJ27" s="496"/>
    </row>
    <row r="28" spans="2:36" ht="20.100000000000001" customHeight="1">
      <c r="B28" s="549"/>
      <c r="C28" s="544"/>
      <c r="D28" s="545"/>
      <c r="E28" s="55"/>
      <c r="F28" s="628"/>
      <c r="G28" s="629"/>
      <c r="H28" s="585"/>
      <c r="I28" s="586"/>
      <c r="J28" s="588"/>
      <c r="K28" s="589"/>
      <c r="Q28" s="523"/>
      <c r="R28" s="495"/>
      <c r="S28" s="495"/>
      <c r="T28" s="495"/>
      <c r="U28" s="495"/>
      <c r="V28" s="495"/>
      <c r="W28" s="495"/>
      <c r="X28" s="495"/>
      <c r="Y28" s="495"/>
      <c r="Z28" s="496"/>
      <c r="AA28" s="495"/>
      <c r="AB28" s="495"/>
      <c r="AC28" s="495"/>
      <c r="AD28" s="495"/>
      <c r="AE28" s="495"/>
      <c r="AF28" s="495"/>
      <c r="AG28" s="495"/>
      <c r="AH28" s="495"/>
      <c r="AI28" s="495"/>
      <c r="AJ28" s="496"/>
    </row>
    <row r="29" spans="2:36" ht="20.100000000000001" customHeight="1">
      <c r="B29" s="118" t="s">
        <v>162</v>
      </c>
      <c r="C29" s="544"/>
      <c r="D29" s="545"/>
      <c r="E29" s="55"/>
      <c r="F29" s="628"/>
      <c r="G29" s="629"/>
      <c r="H29" s="585"/>
      <c r="I29" s="586"/>
      <c r="J29" s="588"/>
      <c r="K29" s="589"/>
      <c r="Q29" s="523"/>
      <c r="R29" s="495"/>
      <c r="S29" s="495"/>
      <c r="T29" s="495"/>
      <c r="U29" s="495"/>
      <c r="V29" s="495"/>
      <c r="W29" s="495"/>
      <c r="X29" s="495"/>
      <c r="Y29" s="495"/>
      <c r="Z29" s="496"/>
      <c r="AA29" s="495"/>
      <c r="AB29" s="495"/>
      <c r="AC29" s="495"/>
      <c r="AD29" s="495"/>
      <c r="AE29" s="495"/>
      <c r="AF29" s="495"/>
      <c r="AG29" s="495"/>
      <c r="AH29" s="495"/>
      <c r="AI29" s="495"/>
      <c r="AJ29" s="496"/>
    </row>
    <row r="30" spans="2:36" ht="20.100000000000001" customHeight="1">
      <c r="B30" s="552" t="str">
        <f>'Data Input'!O30</f>
        <v>N/A</v>
      </c>
      <c r="C30" s="544"/>
      <c r="D30" s="545"/>
      <c r="E30" s="55"/>
      <c r="F30" s="628"/>
      <c r="G30" s="629"/>
      <c r="H30" s="585"/>
      <c r="I30" s="586"/>
      <c r="J30" s="588"/>
      <c r="K30" s="589"/>
      <c r="Q30" s="523"/>
      <c r="R30" s="495"/>
      <c r="S30" s="495"/>
      <c r="T30" s="495"/>
      <c r="U30" s="495"/>
      <c r="V30" s="495"/>
      <c r="W30" s="495"/>
      <c r="X30" s="495"/>
      <c r="Y30" s="495"/>
      <c r="Z30" s="496"/>
      <c r="AA30" s="495"/>
      <c r="AB30" s="495"/>
      <c r="AC30" s="495"/>
      <c r="AD30" s="495"/>
      <c r="AE30" s="495"/>
      <c r="AF30" s="495"/>
      <c r="AG30" s="495"/>
      <c r="AH30" s="495"/>
      <c r="AI30" s="495"/>
      <c r="AJ30" s="496"/>
    </row>
    <row r="31" spans="2:36" ht="20.100000000000001" customHeight="1">
      <c r="B31" s="552"/>
      <c r="C31" s="544"/>
      <c r="D31" s="545"/>
      <c r="E31" s="55"/>
      <c r="F31" s="628"/>
      <c r="G31" s="629"/>
      <c r="H31" s="585"/>
      <c r="I31" s="586"/>
      <c r="J31" s="588"/>
      <c r="K31" s="589"/>
      <c r="Q31" s="523"/>
      <c r="R31" s="495"/>
      <c r="S31" s="495"/>
      <c r="T31" s="495"/>
      <c r="U31" s="495"/>
      <c r="V31" s="495"/>
      <c r="W31" s="495"/>
      <c r="X31" s="495"/>
      <c r="Y31" s="495"/>
      <c r="Z31" s="496"/>
      <c r="AA31" s="495"/>
      <c r="AB31" s="495"/>
      <c r="AC31" s="495"/>
      <c r="AD31" s="495"/>
      <c r="AE31" s="495"/>
      <c r="AF31" s="495"/>
      <c r="AG31" s="495"/>
      <c r="AH31" s="495"/>
      <c r="AI31" s="495"/>
      <c r="AJ31" s="496"/>
    </row>
    <row r="32" spans="2:36" ht="20.100000000000001" customHeight="1">
      <c r="B32" s="119" t="s">
        <v>163</v>
      </c>
      <c r="C32" s="544"/>
      <c r="D32" s="545"/>
      <c r="E32" s="55"/>
      <c r="F32" s="628"/>
      <c r="G32" s="629"/>
      <c r="H32" s="601" t="str">
        <f>INDEX('Dropdown format'!P:P,MATCH($B$4,'Dropdown format'!$A:$A,0))</f>
        <v>N/A</v>
      </c>
      <c r="I32" s="575" t="str">
        <f ca="1">INDEX('Dropdown format'!Q:Q,MATCH($B$4,'Dropdown format'!$A:$A,0))</f>
        <v>You did it!</v>
      </c>
      <c r="J32" s="612" t="str">
        <f>INDEX('Dropdown format'!T:T,MATCH($B$4,'Dropdown format'!$A:$A,0))</f>
        <v>N/A</v>
      </c>
      <c r="K32" s="576" t="str">
        <f ca="1">INDEX('Dropdown format'!U:U,MATCH($B$4,'Dropdown format'!$A:$A,0))</f>
        <v>Unsto🅿️🅿️able!</v>
      </c>
      <c r="Q32" s="523"/>
      <c r="R32" s="495"/>
      <c r="S32" s="495"/>
      <c r="T32" s="495"/>
      <c r="U32" s="495"/>
      <c r="V32" s="495"/>
      <c r="W32" s="495"/>
      <c r="X32" s="495"/>
      <c r="Y32" s="495"/>
      <c r="Z32" s="496"/>
      <c r="AA32" s="495"/>
      <c r="AB32" s="495"/>
      <c r="AC32" s="495"/>
      <c r="AD32" s="495"/>
      <c r="AE32" s="495"/>
      <c r="AF32" s="495"/>
      <c r="AG32" s="495"/>
      <c r="AH32" s="495"/>
      <c r="AI32" s="495"/>
      <c r="AJ32" s="496"/>
    </row>
    <row r="33" spans="2:36" ht="20.100000000000001" customHeight="1">
      <c r="B33" s="552" t="str">
        <f>'Data Input'!M30</f>
        <v>N/A</v>
      </c>
      <c r="C33" s="544"/>
      <c r="D33" s="545"/>
      <c r="E33" s="55"/>
      <c r="F33" s="628"/>
      <c r="G33" s="629"/>
      <c r="H33" s="601"/>
      <c r="I33" s="575"/>
      <c r="J33" s="612"/>
      <c r="K33" s="576"/>
      <c r="Q33" s="523"/>
      <c r="R33" s="495"/>
      <c r="S33" s="495"/>
      <c r="T33" s="495"/>
      <c r="U33" s="495"/>
      <c r="V33" s="495"/>
      <c r="W33" s="495"/>
      <c r="X33" s="495"/>
      <c r="Y33" s="495"/>
      <c r="Z33" s="496"/>
      <c r="AA33" s="495"/>
      <c r="AB33" s="495"/>
      <c r="AC33" s="495"/>
      <c r="AD33" s="495"/>
      <c r="AE33" s="495"/>
      <c r="AF33" s="495"/>
      <c r="AG33" s="495"/>
      <c r="AH33" s="495"/>
      <c r="AI33" s="495"/>
      <c r="AJ33" s="496"/>
    </row>
    <row r="34" spans="2:36" ht="20.100000000000001" customHeight="1" thickBot="1">
      <c r="B34" s="553"/>
      <c r="C34" s="546"/>
      <c r="D34" s="547"/>
      <c r="E34" s="55"/>
      <c r="F34" s="630"/>
      <c r="G34" s="631"/>
      <c r="H34" s="601"/>
      <c r="I34" s="575"/>
      <c r="J34" s="612"/>
      <c r="K34" s="576"/>
      <c r="Q34" s="523"/>
      <c r="R34" s="495"/>
      <c r="S34" s="495"/>
      <c r="T34" s="495"/>
      <c r="U34" s="495"/>
      <c r="V34" s="495"/>
      <c r="W34" s="495"/>
      <c r="X34" s="495"/>
      <c r="Y34" s="495"/>
      <c r="Z34" s="496"/>
      <c r="AA34" s="495"/>
      <c r="AB34" s="495"/>
      <c r="AC34" s="495"/>
      <c r="AD34" s="495"/>
      <c r="AE34" s="495"/>
      <c r="AF34" s="495"/>
      <c r="AG34" s="495"/>
      <c r="AH34" s="495"/>
      <c r="AI34" s="495"/>
      <c r="AJ34" s="496"/>
    </row>
    <row r="35" spans="2:36" ht="20.100000000000001" customHeight="1">
      <c r="B35" s="548">
        <f>'Data Input'!L42</f>
        <v>0</v>
      </c>
      <c r="C35" s="525" t="s">
        <v>58</v>
      </c>
      <c r="D35" s="527"/>
      <c r="E35" s="53"/>
      <c r="F35" s="626" t="str">
        <f>INDEX('Dropdown format'!V:V,MATCH($B$4,'Dropdown format'!$A:$A,0))</f>
        <v xml:space="preserve">How strong are your hamstrings compared to your bodyweight? (PT:BW)
Goal: 
30-40% (w/ HHD)
</v>
      </c>
      <c r="G35" s="627"/>
      <c r="H35" s="583" t="str">
        <f>INDEX('Dropdown format'!X:X,MATCH($B$4,'Dropdown format'!$A:$A,0))</f>
        <v>Injured leg</v>
      </c>
      <c r="I35" s="583"/>
      <c r="J35" s="583" t="str">
        <f>INDEX('Dropdown format'!AB:AB,MATCH($B$4,'Dropdown format'!$A:$A,0))</f>
        <v>Non-injured leg</v>
      </c>
      <c r="K35" s="584"/>
      <c r="Q35" s="523"/>
      <c r="R35" s="495"/>
      <c r="S35" s="495"/>
      <c r="T35" s="495"/>
      <c r="U35" s="495"/>
      <c r="V35" s="495"/>
      <c r="W35" s="495"/>
      <c r="X35" s="495"/>
      <c r="Y35" s="495"/>
      <c r="Z35" s="496"/>
      <c r="AA35" s="495"/>
      <c r="AB35" s="495"/>
      <c r="AC35" s="495"/>
      <c r="AD35" s="495"/>
      <c r="AE35" s="495"/>
      <c r="AF35" s="495"/>
      <c r="AG35" s="495"/>
      <c r="AH35" s="495"/>
      <c r="AI35" s="495"/>
      <c r="AJ35" s="496"/>
    </row>
    <row r="36" spans="2:36" ht="20.100000000000001" customHeight="1">
      <c r="B36" s="549"/>
      <c r="C36" s="544">
        <f>'Data Input'!L47</f>
        <v>0</v>
      </c>
      <c r="D36" s="545"/>
      <c r="E36" s="55"/>
      <c r="F36" s="628"/>
      <c r="G36" s="629"/>
      <c r="H36" s="585"/>
      <c r="I36" s="586"/>
      <c r="J36" s="588"/>
      <c r="K36" s="589"/>
      <c r="N36" s="8"/>
      <c r="Q36" s="523"/>
      <c r="R36" s="495"/>
      <c r="S36" s="495"/>
      <c r="T36" s="495"/>
      <c r="U36" s="495"/>
      <c r="V36" s="495"/>
      <c r="W36" s="495"/>
      <c r="X36" s="495"/>
      <c r="Y36" s="495"/>
      <c r="Z36" s="496"/>
      <c r="AA36" s="495"/>
      <c r="AB36" s="495"/>
      <c r="AC36" s="495"/>
      <c r="AD36" s="495"/>
      <c r="AE36" s="495"/>
      <c r="AF36" s="495"/>
      <c r="AG36" s="495"/>
      <c r="AH36" s="495"/>
      <c r="AI36" s="495"/>
      <c r="AJ36" s="496"/>
    </row>
    <row r="37" spans="2:36" ht="20.100000000000001" customHeight="1">
      <c r="B37" s="549"/>
      <c r="C37" s="544"/>
      <c r="D37" s="545"/>
      <c r="E37" s="55"/>
      <c r="F37" s="628"/>
      <c r="G37" s="629"/>
      <c r="H37" s="585"/>
      <c r="I37" s="586"/>
      <c r="J37" s="588"/>
      <c r="K37" s="589"/>
      <c r="N37" s="8"/>
      <c r="Q37" s="523"/>
      <c r="R37" s="495"/>
      <c r="S37" s="495"/>
      <c r="T37" s="495"/>
      <c r="U37" s="495"/>
      <c r="V37" s="495"/>
      <c r="W37" s="495"/>
      <c r="X37" s="495"/>
      <c r="Y37" s="495"/>
      <c r="Z37" s="496"/>
      <c r="AA37" s="495"/>
      <c r="AB37" s="495"/>
      <c r="AC37" s="495"/>
      <c r="AD37" s="495"/>
      <c r="AE37" s="495"/>
      <c r="AF37" s="495"/>
      <c r="AG37" s="495"/>
      <c r="AH37" s="495"/>
      <c r="AI37" s="495"/>
      <c r="AJ37" s="496"/>
    </row>
    <row r="38" spans="2:36" ht="20.100000000000001" customHeight="1">
      <c r="B38" s="118" t="s">
        <v>162</v>
      </c>
      <c r="C38" s="544"/>
      <c r="D38" s="545"/>
      <c r="E38" s="55"/>
      <c r="F38" s="628"/>
      <c r="G38" s="629"/>
      <c r="H38" s="585"/>
      <c r="I38" s="586"/>
      <c r="J38" s="588"/>
      <c r="K38" s="589"/>
      <c r="N38" s="8"/>
      <c r="Q38" s="523"/>
      <c r="R38" s="495"/>
      <c r="S38" s="495"/>
      <c r="T38" s="495"/>
      <c r="U38" s="495"/>
      <c r="V38" s="495"/>
      <c r="W38" s="495"/>
      <c r="X38" s="495"/>
      <c r="Y38" s="495"/>
      <c r="Z38" s="496"/>
      <c r="AA38" s="495"/>
      <c r="AB38" s="495"/>
      <c r="AC38" s="495"/>
      <c r="AD38" s="495"/>
      <c r="AE38" s="495"/>
      <c r="AF38" s="495"/>
      <c r="AG38" s="495"/>
      <c r="AH38" s="495"/>
      <c r="AI38" s="495"/>
      <c r="AJ38" s="496"/>
    </row>
    <row r="39" spans="2:36" ht="20.100000000000001" customHeight="1">
      <c r="B39" s="552" t="str">
        <f>'Data Input'!O45</f>
        <v>N/A</v>
      </c>
      <c r="C39" s="544"/>
      <c r="D39" s="545"/>
      <c r="E39" s="55"/>
      <c r="F39" s="628"/>
      <c r="G39" s="629"/>
      <c r="H39" s="585"/>
      <c r="I39" s="586"/>
      <c r="J39" s="588"/>
      <c r="K39" s="589"/>
      <c r="N39" s="8"/>
      <c r="Q39" s="523"/>
      <c r="R39" s="495"/>
      <c r="S39" s="495"/>
      <c r="T39" s="495"/>
      <c r="U39" s="495"/>
      <c r="V39" s="495"/>
      <c r="W39" s="495"/>
      <c r="X39" s="495"/>
      <c r="Y39" s="495"/>
      <c r="Z39" s="496"/>
      <c r="AA39" s="495"/>
      <c r="AB39" s="495"/>
      <c r="AC39" s="495"/>
      <c r="AD39" s="495"/>
      <c r="AE39" s="495"/>
      <c r="AF39" s="495"/>
      <c r="AG39" s="495"/>
      <c r="AH39" s="495"/>
      <c r="AI39" s="495"/>
      <c r="AJ39" s="496"/>
    </row>
    <row r="40" spans="2:36" ht="20.100000000000001" customHeight="1">
      <c r="B40" s="552"/>
      <c r="C40" s="544"/>
      <c r="D40" s="545"/>
      <c r="E40" s="55"/>
      <c r="F40" s="628"/>
      <c r="G40" s="629"/>
      <c r="H40" s="585"/>
      <c r="I40" s="586"/>
      <c r="J40" s="588"/>
      <c r="K40" s="589"/>
      <c r="Q40" s="523"/>
      <c r="R40" s="495"/>
      <c r="S40" s="495"/>
      <c r="T40" s="495"/>
      <c r="U40" s="495"/>
      <c r="V40" s="495"/>
      <c r="W40" s="495"/>
      <c r="X40" s="495"/>
      <c r="Y40" s="495"/>
      <c r="Z40" s="496"/>
      <c r="AA40" s="495"/>
      <c r="AB40" s="495"/>
      <c r="AC40" s="495"/>
      <c r="AD40" s="495"/>
      <c r="AE40" s="495"/>
      <c r="AF40" s="495"/>
      <c r="AG40" s="495"/>
      <c r="AH40" s="495"/>
      <c r="AI40" s="495"/>
      <c r="AJ40" s="496"/>
    </row>
    <row r="41" spans="2:36" ht="20.100000000000001" customHeight="1">
      <c r="B41" s="119" t="s">
        <v>163</v>
      </c>
      <c r="C41" s="544"/>
      <c r="D41" s="545"/>
      <c r="E41" s="55"/>
      <c r="F41" s="628"/>
      <c r="G41" s="629"/>
      <c r="H41" s="601" t="str">
        <f>INDEX('Dropdown format'!Y:Y,MATCH($B$4,'Dropdown format'!$A:$A,0))</f>
        <v>N/A</v>
      </c>
      <c r="I41" s="575" t="str">
        <f ca="1">INDEX('Dropdown format'!Z:Z,MATCH($B$4,'Dropdown format'!$A:$A,0))</f>
        <v>Way to lock in!</v>
      </c>
      <c r="J41" s="612" t="str">
        <f>INDEX('Dropdown format'!AC:AC,MATCH($B$4,'Dropdown format'!$A:$A,0))</f>
        <v>N/A</v>
      </c>
      <c r="K41" s="576" t="str">
        <f ca="1">INDEX('Dropdown format'!AD:AD,MATCH($B$4,'Dropdown format'!$A:$A,0))</f>
        <v>GOAT status 🐐</v>
      </c>
      <c r="Q41" s="523"/>
      <c r="R41" s="495"/>
      <c r="S41" s="495"/>
      <c r="T41" s="495"/>
      <c r="U41" s="495"/>
      <c r="V41" s="495"/>
      <c r="W41" s="495"/>
      <c r="X41" s="495"/>
      <c r="Y41" s="495"/>
      <c r="Z41" s="496"/>
      <c r="AA41" s="495"/>
      <c r="AB41" s="495"/>
      <c r="AC41" s="495"/>
      <c r="AD41" s="495"/>
      <c r="AE41" s="495"/>
      <c r="AF41" s="495"/>
      <c r="AG41" s="495"/>
      <c r="AH41" s="495"/>
      <c r="AI41" s="495"/>
      <c r="AJ41" s="496"/>
    </row>
    <row r="42" spans="2:36" ht="20.100000000000001" customHeight="1">
      <c r="B42" s="552" t="str">
        <f>'Data Input'!M45</f>
        <v>N/A</v>
      </c>
      <c r="C42" s="544"/>
      <c r="D42" s="545"/>
      <c r="E42" s="55"/>
      <c r="F42" s="628"/>
      <c r="G42" s="629"/>
      <c r="H42" s="601"/>
      <c r="I42" s="575"/>
      <c r="J42" s="612"/>
      <c r="K42" s="576"/>
      <c r="Q42" s="523"/>
      <c r="R42" s="495"/>
      <c r="S42" s="495"/>
      <c r="T42" s="495"/>
      <c r="U42" s="495"/>
      <c r="V42" s="495"/>
      <c r="W42" s="495"/>
      <c r="X42" s="495"/>
      <c r="Y42" s="495"/>
      <c r="Z42" s="496"/>
      <c r="AA42" s="495"/>
      <c r="AB42" s="495"/>
      <c r="AC42" s="495"/>
      <c r="AD42" s="495"/>
      <c r="AE42" s="495"/>
      <c r="AF42" s="495"/>
      <c r="AG42" s="495"/>
      <c r="AH42" s="495"/>
      <c r="AI42" s="495"/>
      <c r="AJ42" s="496"/>
    </row>
    <row r="43" spans="2:36" ht="20.100000000000001" customHeight="1" thickBot="1">
      <c r="B43" s="553"/>
      <c r="C43" s="546"/>
      <c r="D43" s="547"/>
      <c r="E43" s="55"/>
      <c r="F43" s="630"/>
      <c r="G43" s="631"/>
      <c r="H43" s="613"/>
      <c r="I43" s="577"/>
      <c r="J43" s="614"/>
      <c r="K43" s="578"/>
      <c r="Q43" s="523"/>
      <c r="R43" s="495"/>
      <c r="S43" s="495"/>
      <c r="T43" s="495"/>
      <c r="U43" s="495"/>
      <c r="V43" s="495"/>
      <c r="W43" s="495"/>
      <c r="X43" s="495"/>
      <c r="Y43" s="495"/>
      <c r="Z43" s="496"/>
      <c r="AA43" s="495"/>
      <c r="AB43" s="495"/>
      <c r="AC43" s="495"/>
      <c r="AD43" s="495"/>
      <c r="AE43" s="495"/>
      <c r="AF43" s="495"/>
      <c r="AG43" s="495"/>
      <c r="AH43" s="495"/>
      <c r="AI43" s="495"/>
      <c r="AJ43" s="496"/>
    </row>
    <row r="44" spans="2:36" ht="20.100000000000001" customHeight="1" thickBot="1">
      <c r="B44" s="548">
        <f>'Data Input'!L57</f>
        <v>0</v>
      </c>
      <c r="C44" s="550" t="s">
        <v>58</v>
      </c>
      <c r="D44" s="551"/>
      <c r="E44" s="53"/>
      <c r="F44" s="132"/>
      <c r="G44" s="49"/>
      <c r="H44" s="49"/>
      <c r="I44" s="49"/>
      <c r="J44" s="49"/>
      <c r="K44" s="49"/>
      <c r="Q44" s="523"/>
      <c r="R44" s="495"/>
      <c r="S44" s="495"/>
      <c r="T44" s="495"/>
      <c r="U44" s="495"/>
      <c r="V44" s="495"/>
      <c r="W44" s="495"/>
      <c r="X44" s="495"/>
      <c r="Y44" s="495"/>
      <c r="Z44" s="496"/>
      <c r="AA44" s="495"/>
      <c r="AB44" s="495"/>
      <c r="AC44" s="495"/>
      <c r="AD44" s="495"/>
      <c r="AE44" s="495"/>
      <c r="AF44" s="495"/>
      <c r="AG44" s="495"/>
      <c r="AH44" s="495"/>
      <c r="AI44" s="495"/>
      <c r="AJ44" s="496"/>
    </row>
    <row r="45" spans="2:36" ht="20.100000000000001" customHeight="1">
      <c r="B45" s="549"/>
      <c r="C45" s="544">
        <f>'Data Input'!L62</f>
        <v>0</v>
      </c>
      <c r="D45" s="545"/>
      <c r="E45" s="55"/>
      <c r="F45" s="623" t="s">
        <v>164</v>
      </c>
      <c r="G45" s="624"/>
      <c r="H45" s="624"/>
      <c r="I45" s="624"/>
      <c r="J45" s="624"/>
      <c r="K45" s="625"/>
      <c r="Q45" s="523"/>
      <c r="R45" s="495"/>
      <c r="S45" s="495"/>
      <c r="T45" s="495"/>
      <c r="U45" s="495"/>
      <c r="V45" s="495"/>
      <c r="W45" s="495"/>
      <c r="X45" s="495"/>
      <c r="Y45" s="495"/>
      <c r="Z45" s="496"/>
      <c r="AA45" s="495"/>
      <c r="AB45" s="495"/>
      <c r="AC45" s="495"/>
      <c r="AD45" s="495"/>
      <c r="AE45" s="495"/>
      <c r="AF45" s="495"/>
      <c r="AG45" s="495"/>
      <c r="AH45" s="495"/>
      <c r="AI45" s="495"/>
      <c r="AJ45" s="496"/>
    </row>
    <row r="46" spans="2:36" ht="20.100000000000001" customHeight="1">
      <c r="B46" s="549"/>
      <c r="C46" s="544"/>
      <c r="D46" s="545"/>
      <c r="E46" s="55"/>
      <c r="F46" s="620"/>
      <c r="G46" s="615" t="s">
        <v>165</v>
      </c>
      <c r="H46" s="615" t="s">
        <v>166</v>
      </c>
      <c r="I46" s="615" t="s">
        <v>167</v>
      </c>
      <c r="J46" s="615" t="s">
        <v>168</v>
      </c>
      <c r="K46" s="616" t="s">
        <v>169</v>
      </c>
      <c r="Q46" s="523"/>
      <c r="R46" s="495"/>
      <c r="S46" s="495"/>
      <c r="T46" s="495"/>
      <c r="U46" s="495"/>
      <c r="V46" s="495"/>
      <c r="W46" s="495"/>
      <c r="X46" s="495"/>
      <c r="Y46" s="495"/>
      <c r="Z46" s="496"/>
      <c r="AA46" s="495"/>
      <c r="AB46" s="495"/>
      <c r="AC46" s="495"/>
      <c r="AD46" s="495"/>
      <c r="AE46" s="495"/>
      <c r="AF46" s="495"/>
      <c r="AG46" s="495"/>
      <c r="AH46" s="495"/>
      <c r="AI46" s="495"/>
      <c r="AJ46" s="496"/>
    </row>
    <row r="47" spans="2:36" ht="20.100000000000001" customHeight="1">
      <c r="B47" s="118" t="s">
        <v>162</v>
      </c>
      <c r="C47" s="544"/>
      <c r="D47" s="545"/>
      <c r="E47" s="55"/>
      <c r="F47" s="620"/>
      <c r="G47" s="615"/>
      <c r="H47" s="615"/>
      <c r="I47" s="615"/>
      <c r="J47" s="615"/>
      <c r="K47" s="616"/>
      <c r="Q47" s="523"/>
      <c r="R47" s="495"/>
      <c r="S47" s="495"/>
      <c r="T47" s="495"/>
      <c r="U47" s="495"/>
      <c r="V47" s="495"/>
      <c r="W47" s="495"/>
      <c r="X47" s="495"/>
      <c r="Y47" s="495"/>
      <c r="Z47" s="496"/>
      <c r="AA47" s="495"/>
      <c r="AB47" s="495"/>
      <c r="AC47" s="495"/>
      <c r="AD47" s="495"/>
      <c r="AE47" s="495"/>
      <c r="AF47" s="495"/>
      <c r="AG47" s="495"/>
      <c r="AH47" s="495"/>
      <c r="AI47" s="495"/>
      <c r="AJ47" s="496"/>
    </row>
    <row r="48" spans="2:36" ht="20.100000000000001" customHeight="1">
      <c r="B48" s="552" t="str">
        <f>'Data Input'!O60</f>
        <v>N/A</v>
      </c>
      <c r="C48" s="544"/>
      <c r="D48" s="545"/>
      <c r="E48" s="55"/>
      <c r="F48" s="621" t="s">
        <v>170</v>
      </c>
      <c r="G48" s="632" t="str">
        <f>'Data Input'!F65</f>
        <v>N/A</v>
      </c>
      <c r="H48" s="590" t="str">
        <f>'Data Input'!F66</f>
        <v>N/A</v>
      </c>
      <c r="I48" s="590" t="str">
        <f>'Data Input'!F67</f>
        <v>N/A</v>
      </c>
      <c r="J48" s="590" t="str">
        <f>'Data Input'!F68</f>
        <v>N/A</v>
      </c>
      <c r="K48" s="617" t="str">
        <f>'Data Input'!F69</f>
        <v>N/A</v>
      </c>
      <c r="Q48" s="523"/>
      <c r="R48" s="495"/>
      <c r="S48" s="495"/>
      <c r="T48" s="495"/>
      <c r="U48" s="495"/>
      <c r="V48" s="495"/>
      <c r="W48" s="495"/>
      <c r="X48" s="495"/>
      <c r="Y48" s="495"/>
      <c r="Z48" s="496"/>
      <c r="AA48" s="495"/>
      <c r="AB48" s="495"/>
      <c r="AC48" s="495"/>
      <c r="AD48" s="495"/>
      <c r="AE48" s="495"/>
      <c r="AF48" s="495"/>
      <c r="AG48" s="495"/>
      <c r="AH48" s="495"/>
      <c r="AI48" s="495"/>
      <c r="AJ48" s="496"/>
    </row>
    <row r="49" spans="2:36" ht="20.100000000000001" customHeight="1">
      <c r="B49" s="552"/>
      <c r="C49" s="544"/>
      <c r="D49" s="545"/>
      <c r="E49" s="55"/>
      <c r="F49" s="621"/>
      <c r="G49" s="633"/>
      <c r="H49" s="591"/>
      <c r="I49" s="591"/>
      <c r="J49" s="591"/>
      <c r="K49" s="618"/>
      <c r="Q49" s="523"/>
      <c r="R49" s="495"/>
      <c r="S49" s="495"/>
      <c r="T49" s="495"/>
      <c r="U49" s="495"/>
      <c r="V49" s="495"/>
      <c r="W49" s="495"/>
      <c r="X49" s="495"/>
      <c r="Y49" s="495"/>
      <c r="Z49" s="496"/>
      <c r="AA49" s="495"/>
      <c r="AB49" s="495"/>
      <c r="AC49" s="495"/>
      <c r="AD49" s="495"/>
      <c r="AE49" s="495"/>
      <c r="AF49" s="495"/>
      <c r="AG49" s="495"/>
      <c r="AH49" s="495"/>
      <c r="AI49" s="495"/>
      <c r="AJ49" s="496"/>
    </row>
    <row r="50" spans="2:36" ht="20.100000000000001" customHeight="1" thickBot="1">
      <c r="B50" s="119" t="s">
        <v>163</v>
      </c>
      <c r="C50" s="544"/>
      <c r="D50" s="545"/>
      <c r="E50" s="55"/>
      <c r="F50" s="622"/>
      <c r="G50" s="634"/>
      <c r="H50" s="592"/>
      <c r="I50" s="592"/>
      <c r="J50" s="592"/>
      <c r="K50" s="619"/>
      <c r="Q50" s="523"/>
      <c r="R50" s="495"/>
      <c r="S50" s="495"/>
      <c r="T50" s="495"/>
      <c r="U50" s="495"/>
      <c r="V50" s="495"/>
      <c r="W50" s="495"/>
      <c r="X50" s="495"/>
      <c r="Y50" s="495"/>
      <c r="Z50" s="496"/>
      <c r="AA50" s="495"/>
      <c r="AB50" s="495"/>
      <c r="AC50" s="495"/>
      <c r="AD50" s="495"/>
      <c r="AE50" s="495"/>
      <c r="AF50" s="495"/>
      <c r="AG50" s="495"/>
      <c r="AH50" s="495"/>
      <c r="AI50" s="495"/>
      <c r="AJ50" s="496"/>
    </row>
    <row r="51" spans="2:36" ht="20.100000000000001" customHeight="1" thickBot="1">
      <c r="B51" s="552" t="str">
        <f>'Data Input'!M60</f>
        <v>N/A</v>
      </c>
      <c r="C51" s="544"/>
      <c r="D51" s="545"/>
      <c r="E51" s="55"/>
      <c r="F51" s="83"/>
      <c r="G51" s="83"/>
      <c r="H51" s="2"/>
      <c r="I51" s="124"/>
      <c r="J51" s="124"/>
      <c r="K51" s="125"/>
      <c r="Q51" s="523"/>
      <c r="R51" s="495"/>
      <c r="S51" s="495"/>
      <c r="T51" s="495"/>
      <c r="U51" s="495"/>
      <c r="V51" s="495"/>
      <c r="W51" s="495"/>
      <c r="X51" s="495"/>
      <c r="Y51" s="495"/>
      <c r="Z51" s="496"/>
      <c r="AA51" s="495"/>
      <c r="AB51" s="495"/>
      <c r="AC51" s="495"/>
      <c r="AD51" s="495"/>
      <c r="AE51" s="495"/>
      <c r="AF51" s="495"/>
      <c r="AG51" s="495"/>
      <c r="AH51" s="495"/>
      <c r="AI51" s="495"/>
      <c r="AJ51" s="496"/>
    </row>
    <row r="52" spans="2:36" ht="20.100000000000001" customHeight="1" thickBot="1">
      <c r="B52" s="553"/>
      <c r="C52" s="546"/>
      <c r="D52" s="547"/>
      <c r="E52" s="55"/>
      <c r="F52" s="623" t="s">
        <v>171</v>
      </c>
      <c r="G52" s="624"/>
      <c r="H52" s="624"/>
      <c r="I52" s="624"/>
      <c r="J52" s="624"/>
      <c r="K52" s="625"/>
      <c r="Q52" s="523"/>
      <c r="R52" s="495"/>
      <c r="S52" s="495"/>
      <c r="T52" s="495"/>
      <c r="U52" s="495"/>
      <c r="V52" s="495"/>
      <c r="W52" s="495"/>
      <c r="X52" s="495"/>
      <c r="Y52" s="495"/>
      <c r="Z52" s="496"/>
      <c r="AA52" s="495"/>
      <c r="AB52" s="495"/>
      <c r="AC52" s="495"/>
      <c r="AD52" s="495"/>
      <c r="AE52" s="495"/>
      <c r="AF52" s="495"/>
      <c r="AG52" s="495"/>
      <c r="AH52" s="495"/>
      <c r="AI52" s="495"/>
      <c r="AJ52" s="496"/>
    </row>
    <row r="53" spans="2:36" ht="20.100000000000001" customHeight="1">
      <c r="B53" s="525" t="s">
        <v>172</v>
      </c>
      <c r="C53" s="526"/>
      <c r="D53" s="527"/>
      <c r="E53" s="56"/>
      <c r="F53" s="620"/>
      <c r="G53" s="639"/>
      <c r="H53" s="615" t="str">
        <f>INDEX('Dropdown format'!AG:AG,MATCH($B$4,'Dropdown format'!$A:$A,0))</f>
        <v>Braking or
Eccentric Deceleration Impulse</v>
      </c>
      <c r="I53" s="615" t="str">
        <f>INDEX('Dropdown format'!AJ:AJ,MATCH($B$4,'Dropdown format'!$A:$A,0))</f>
        <v>Propulsion or Concentric Impulse</v>
      </c>
      <c r="J53" s="615" t="str">
        <f>INDEX('Dropdown format'!AM:AM,MATCH($B$4,'Dropdown format'!$A:$A,0))</f>
        <v>Landing Impulse</v>
      </c>
      <c r="K53" s="616" t="str">
        <f>INDEX('Dropdown format'!AP:AP,MATCH($B$4,'Dropdown format'!$A:$A,0))</f>
        <v>Peak Power/BW (W/kg)</v>
      </c>
      <c r="Q53" s="523"/>
      <c r="R53" s="495"/>
      <c r="S53" s="495"/>
      <c r="T53" s="495"/>
      <c r="U53" s="495"/>
      <c r="V53" s="495"/>
      <c r="W53" s="495"/>
      <c r="X53" s="495"/>
      <c r="Y53" s="495"/>
      <c r="Z53" s="496"/>
      <c r="AA53" s="495"/>
      <c r="AB53" s="495"/>
      <c r="AC53" s="495"/>
      <c r="AD53" s="495"/>
      <c r="AE53" s="495"/>
      <c r="AF53" s="495"/>
      <c r="AG53" s="495"/>
      <c r="AH53" s="495"/>
      <c r="AI53" s="495"/>
      <c r="AJ53" s="496"/>
    </row>
    <row r="54" spans="2:36" ht="42" customHeight="1">
      <c r="B54" s="534">
        <f>'Data Input'!H65</f>
        <v>0</v>
      </c>
      <c r="C54" s="528">
        <f>'Data Input'!J65</f>
        <v>0</v>
      </c>
      <c r="D54" s="529"/>
      <c r="E54" s="57"/>
      <c r="F54" s="620"/>
      <c r="G54" s="639"/>
      <c r="H54" s="615"/>
      <c r="I54" s="615"/>
      <c r="J54" s="615"/>
      <c r="K54" s="616"/>
      <c r="Q54" s="523"/>
      <c r="R54" s="495"/>
      <c r="S54" s="495"/>
      <c r="T54" s="495"/>
      <c r="U54" s="495"/>
      <c r="V54" s="495"/>
      <c r="W54" s="495"/>
      <c r="X54" s="495"/>
      <c r="Y54" s="495"/>
      <c r="Z54" s="496"/>
      <c r="AA54" s="495"/>
      <c r="AB54" s="495"/>
      <c r="AC54" s="495"/>
      <c r="AD54" s="495"/>
      <c r="AE54" s="495"/>
      <c r="AF54" s="495"/>
      <c r="AG54" s="495"/>
      <c r="AH54" s="495"/>
      <c r="AI54" s="495"/>
      <c r="AJ54" s="496"/>
    </row>
    <row r="55" spans="2:36" ht="20.100000000000001" customHeight="1">
      <c r="B55" s="534"/>
      <c r="C55" s="530"/>
      <c r="D55" s="531"/>
      <c r="E55" s="57"/>
      <c r="F55" s="620"/>
      <c r="G55" s="639"/>
      <c r="H55" s="615"/>
      <c r="I55" s="615"/>
      <c r="J55" s="615"/>
      <c r="K55" s="616"/>
      <c r="Q55" s="523"/>
      <c r="R55" s="495"/>
      <c r="S55" s="495"/>
      <c r="T55" s="495"/>
      <c r="U55" s="495"/>
      <c r="V55" s="495"/>
      <c r="W55" s="495"/>
      <c r="X55" s="495"/>
      <c r="Y55" s="495"/>
      <c r="Z55" s="496"/>
      <c r="AA55" s="495"/>
      <c r="AB55" s="495"/>
      <c r="AC55" s="495"/>
      <c r="AD55" s="495"/>
      <c r="AE55" s="495"/>
      <c r="AF55" s="495"/>
      <c r="AG55" s="495"/>
      <c r="AH55" s="495"/>
      <c r="AI55" s="495"/>
      <c r="AJ55" s="496"/>
    </row>
    <row r="56" spans="2:36" ht="20.100000000000001" customHeight="1">
      <c r="B56" s="534"/>
      <c r="C56" s="530"/>
      <c r="D56" s="531"/>
      <c r="E56" s="57"/>
      <c r="F56" s="640" t="str">
        <f>INDEX('Dropdown format'!AE:AE,MATCH($B$4,'Dropdown format'!$A:$A,0))</f>
        <v>Asymmetry:</v>
      </c>
      <c r="G56" s="641"/>
      <c r="H56" s="635" t="str">
        <f>INDEX('Dropdown format'!AH:AH,MATCH($B$4,'Dropdown format'!$A:$A,0))</f>
        <v>N/A</v>
      </c>
      <c r="I56" s="635" t="str">
        <f>INDEX('Dropdown format'!AK:AK,MATCH($B$4,'Dropdown format'!$A:$A,0))</f>
        <v>N/A</v>
      </c>
      <c r="J56" s="635" t="str">
        <f>INDEX('Dropdown format'!AN:AN,MATCH($B$4,'Dropdown format'!$A:$A,0))</f>
        <v>N/A</v>
      </c>
      <c r="K56" s="637" t="str">
        <f>INDEX('Dropdown format'!AQ:AQ,MATCH($B$4,'Dropdown format'!$A:$A,0))</f>
        <v>N/A</v>
      </c>
      <c r="Q56" s="523"/>
      <c r="R56" s="495"/>
      <c r="S56" s="495"/>
      <c r="T56" s="495"/>
      <c r="U56" s="495"/>
      <c r="V56" s="495"/>
      <c r="W56" s="495"/>
      <c r="X56" s="495"/>
      <c r="Y56" s="495"/>
      <c r="Z56" s="496"/>
      <c r="AA56" s="495"/>
      <c r="AB56" s="495"/>
      <c r="AC56" s="495"/>
      <c r="AD56" s="495"/>
      <c r="AE56" s="495"/>
      <c r="AF56" s="495"/>
      <c r="AG56" s="495"/>
      <c r="AH56" s="495"/>
      <c r="AI56" s="495"/>
      <c r="AJ56" s="496"/>
    </row>
    <row r="57" spans="2:36" ht="20.100000000000001" customHeight="1">
      <c r="B57" s="534"/>
      <c r="C57" s="532"/>
      <c r="D57" s="533"/>
      <c r="E57" s="57"/>
      <c r="F57" s="640"/>
      <c r="G57" s="641"/>
      <c r="H57" s="635"/>
      <c r="I57" s="635"/>
      <c r="J57" s="635"/>
      <c r="K57" s="637"/>
      <c r="Q57" s="523"/>
      <c r="R57" s="495"/>
      <c r="S57" s="495"/>
      <c r="T57" s="495"/>
      <c r="U57" s="495"/>
      <c r="V57" s="495"/>
      <c r="W57" s="495"/>
      <c r="X57" s="495"/>
      <c r="Y57" s="495"/>
      <c r="Z57" s="496"/>
      <c r="AA57" s="495"/>
      <c r="AB57" s="495"/>
      <c r="AC57" s="495"/>
      <c r="AD57" s="495"/>
      <c r="AE57" s="495"/>
      <c r="AF57" s="495"/>
      <c r="AG57" s="495"/>
      <c r="AH57" s="495"/>
      <c r="AI57" s="495"/>
      <c r="AJ57" s="496"/>
    </row>
    <row r="58" spans="2:36" ht="20.100000000000001" customHeight="1">
      <c r="B58" s="554">
        <f>'Data Input'!H69</f>
        <v>0</v>
      </c>
      <c r="C58" s="557">
        <f>'Data Input'!J69</f>
        <v>0</v>
      </c>
      <c r="D58" s="529"/>
      <c r="E58" s="57"/>
      <c r="F58" s="642"/>
      <c r="G58" s="643"/>
      <c r="H58" s="636"/>
      <c r="I58" s="636"/>
      <c r="J58" s="636"/>
      <c r="K58" s="638"/>
      <c r="Q58" s="523"/>
      <c r="R58" s="495"/>
      <c r="S58" s="495"/>
      <c r="T58" s="495"/>
      <c r="U58" s="495"/>
      <c r="V58" s="495"/>
      <c r="W58" s="495"/>
      <c r="X58" s="495"/>
      <c r="Y58" s="495"/>
      <c r="Z58" s="496"/>
      <c r="AA58" s="495"/>
      <c r="AB58" s="495"/>
      <c r="AC58" s="495"/>
      <c r="AD58" s="495"/>
      <c r="AE58" s="495"/>
      <c r="AF58" s="495"/>
      <c r="AG58" s="495"/>
      <c r="AH58" s="495"/>
      <c r="AI58" s="495"/>
      <c r="AJ58" s="496"/>
    </row>
    <row r="59" spans="2:36" ht="39" customHeight="1">
      <c r="B59" s="555"/>
      <c r="C59" s="558"/>
      <c r="D59" s="531"/>
      <c r="E59" s="57"/>
      <c r="F59" s="538" t="str">
        <f>INDEX('Dropdown format'!AF:AF,MATCH($B$4,'Dropdown format'!$A:$A,0))</f>
        <v>Asymmetry indicates which side you're using more. Ex: 20% R means you're using the right side 20% more than the left. Goals may vary based on baseline and norms.</v>
      </c>
      <c r="G59" s="539"/>
      <c r="H59" s="539" t="str">
        <f>INDEX('Dropdown format'!AI:AI,MATCH($B$4,'Dropdown format'!$A:$A,0))</f>
        <v>This is the phase where you move down prior to jumping up;a deceleration-type task. There may be room for error so anything up to 30% may be normal.</v>
      </c>
      <c r="I59" s="539" t="str">
        <f>INDEX('Dropdown format'!AL:AL,MATCH($B$4,'Dropdown format'!$A:$A,0))</f>
        <v>This is the phase where you are moving up, but you have not left the ground yet. This phase has less room for error, so large shifts like 20%+ may be truly abnormal.</v>
      </c>
      <c r="J59" s="539" t="str">
        <f>INDEX('Dropdown format'!AO:AO,MATCH($B$4,'Dropdown format'!$A:$A,0))</f>
        <v>This phase looks at which side you shift toward during high impact forces. There may be a lot of room for error, so anything up to 30% may be normal.</v>
      </c>
      <c r="K59" s="542" t="str">
        <f>INDEX('Dropdown format'!AR:AR,MATCH($B$4,'Dropdown format'!$A:$A,0))</f>
        <v>This indicates how powerful you are, and is scaled to bodyweight in order to compare it to others. It highly varies between 40 to 100 based on sport and sex.</v>
      </c>
      <c r="Q59" s="523"/>
      <c r="R59" s="495"/>
      <c r="S59" s="495"/>
      <c r="T59" s="495"/>
      <c r="U59" s="495"/>
      <c r="V59" s="495"/>
      <c r="W59" s="495"/>
      <c r="X59" s="495"/>
      <c r="Y59" s="495"/>
      <c r="Z59" s="496"/>
      <c r="AA59" s="495"/>
      <c r="AB59" s="495"/>
      <c r="AC59" s="495"/>
      <c r="AD59" s="495"/>
      <c r="AE59" s="495"/>
      <c r="AF59" s="495"/>
      <c r="AG59" s="495"/>
      <c r="AH59" s="495"/>
      <c r="AI59" s="495"/>
      <c r="AJ59" s="496"/>
    </row>
    <row r="60" spans="2:36" ht="20.100000000000001" customHeight="1">
      <c r="B60" s="555"/>
      <c r="C60" s="558"/>
      <c r="D60" s="531"/>
      <c r="E60" s="57"/>
      <c r="F60" s="538"/>
      <c r="G60" s="539"/>
      <c r="H60" s="539"/>
      <c r="I60" s="539"/>
      <c r="J60" s="539"/>
      <c r="K60" s="542"/>
      <c r="Q60" s="523"/>
      <c r="R60" s="495"/>
      <c r="S60" s="495"/>
      <c r="T60" s="495"/>
      <c r="U60" s="495"/>
      <c r="V60" s="495"/>
      <c r="W60" s="495"/>
      <c r="X60" s="495"/>
      <c r="Y60" s="495"/>
      <c r="Z60" s="496"/>
      <c r="AA60" s="495"/>
      <c r="AB60" s="495"/>
      <c r="AC60" s="495"/>
      <c r="AD60" s="495"/>
      <c r="AE60" s="495"/>
      <c r="AF60" s="495"/>
      <c r="AG60" s="495"/>
      <c r="AH60" s="495"/>
      <c r="AI60" s="495"/>
      <c r="AJ60" s="496"/>
    </row>
    <row r="61" spans="2:36" ht="20.100000000000001" customHeight="1" thickBot="1">
      <c r="B61" s="556"/>
      <c r="C61" s="559"/>
      <c r="D61" s="560"/>
      <c r="E61" s="123"/>
      <c r="F61" s="538"/>
      <c r="G61" s="539"/>
      <c r="H61" s="539"/>
      <c r="I61" s="539"/>
      <c r="J61" s="539"/>
      <c r="K61" s="542"/>
      <c r="Q61" s="523"/>
      <c r="R61" s="495"/>
      <c r="S61" s="495"/>
      <c r="T61" s="495"/>
      <c r="U61" s="495"/>
      <c r="V61" s="495"/>
      <c r="W61" s="495"/>
      <c r="X61" s="495"/>
      <c r="Y61" s="495"/>
      <c r="Z61" s="496"/>
      <c r="AA61" s="495"/>
      <c r="AB61" s="495"/>
      <c r="AC61" s="495"/>
      <c r="AD61" s="495"/>
      <c r="AE61" s="495"/>
      <c r="AF61" s="495"/>
      <c r="AG61" s="495"/>
      <c r="AH61" s="495"/>
      <c r="AI61" s="495"/>
      <c r="AJ61" s="496"/>
    </row>
    <row r="62" spans="2:36" ht="20.100000000000001" customHeight="1">
      <c r="B62" s="102"/>
      <c r="C62" s="102"/>
      <c r="D62" s="102"/>
      <c r="E62" s="99"/>
      <c r="F62" s="538"/>
      <c r="G62" s="539"/>
      <c r="H62" s="539"/>
      <c r="I62" s="539"/>
      <c r="J62" s="539"/>
      <c r="K62" s="542"/>
      <c r="Q62" s="523"/>
      <c r="R62" s="495"/>
      <c r="S62" s="495"/>
      <c r="T62" s="495"/>
      <c r="U62" s="495"/>
      <c r="V62" s="495"/>
      <c r="W62" s="495"/>
      <c r="X62" s="495"/>
      <c r="Y62" s="495"/>
      <c r="Z62" s="496"/>
      <c r="AA62" s="495"/>
      <c r="AB62" s="495"/>
      <c r="AC62" s="495"/>
      <c r="AD62" s="495"/>
      <c r="AE62" s="495"/>
      <c r="AF62" s="495"/>
      <c r="AG62" s="495"/>
      <c r="AH62" s="495"/>
      <c r="AI62" s="495"/>
      <c r="AJ62" s="496"/>
    </row>
    <row r="63" spans="2:36" ht="20.100000000000001" customHeight="1">
      <c r="B63" s="135" t="s">
        <v>173</v>
      </c>
      <c r="C63" s="508" t="str">
        <f>'Data Input'!F6</f>
        <v>N/A</v>
      </c>
      <c r="D63" s="509"/>
      <c r="E63" s="510"/>
      <c r="F63" s="538"/>
      <c r="G63" s="539"/>
      <c r="H63" s="539"/>
      <c r="I63" s="539"/>
      <c r="J63" s="539"/>
      <c r="K63" s="542"/>
      <c r="Q63" s="523"/>
      <c r="R63" s="495"/>
      <c r="S63" s="495"/>
      <c r="T63" s="495"/>
      <c r="U63" s="495"/>
      <c r="V63" s="495"/>
      <c r="W63" s="495"/>
      <c r="X63" s="495"/>
      <c r="Y63" s="495"/>
      <c r="Z63" s="496"/>
      <c r="AA63" s="495"/>
      <c r="AB63" s="495"/>
      <c r="AC63" s="495"/>
      <c r="AD63" s="495"/>
      <c r="AE63" s="495"/>
      <c r="AF63" s="495"/>
      <c r="AG63" s="495"/>
      <c r="AH63" s="495"/>
      <c r="AI63" s="495"/>
      <c r="AJ63" s="496"/>
    </row>
    <row r="64" spans="2:36" ht="20.100000000000001" customHeight="1">
      <c r="B64" s="22"/>
      <c r="C64" s="511"/>
      <c r="D64" s="512"/>
      <c r="E64" s="513"/>
      <c r="F64" s="538"/>
      <c r="G64" s="539"/>
      <c r="H64" s="539"/>
      <c r="I64" s="539"/>
      <c r="J64" s="539"/>
      <c r="K64" s="542"/>
      <c r="Q64" s="523"/>
      <c r="R64" s="495"/>
      <c r="S64" s="495"/>
      <c r="T64" s="495"/>
      <c r="U64" s="495"/>
      <c r="V64" s="495"/>
      <c r="W64" s="495"/>
      <c r="X64" s="495"/>
      <c r="Y64" s="495"/>
      <c r="Z64" s="496"/>
      <c r="AA64" s="495"/>
      <c r="AB64" s="495"/>
      <c r="AC64" s="495"/>
      <c r="AD64" s="495"/>
      <c r="AE64" s="495"/>
      <c r="AF64" s="495"/>
      <c r="AG64" s="495"/>
      <c r="AH64" s="495"/>
      <c r="AI64" s="495"/>
      <c r="AJ64" s="496"/>
    </row>
    <row r="65" spans="2:36" ht="20.100000000000001" customHeight="1">
      <c r="B65" s="136" t="s">
        <v>174</v>
      </c>
      <c r="C65" s="514">
        <f ca="1">TODAY()</f>
        <v>45600</v>
      </c>
      <c r="D65" s="515"/>
      <c r="E65" s="516"/>
      <c r="F65" s="538"/>
      <c r="G65" s="539"/>
      <c r="H65" s="539"/>
      <c r="I65" s="539"/>
      <c r="J65" s="539"/>
      <c r="K65" s="542"/>
      <c r="Q65" s="523"/>
      <c r="R65" s="495"/>
      <c r="S65" s="495"/>
      <c r="T65" s="495"/>
      <c r="U65" s="495"/>
      <c r="V65" s="495"/>
      <c r="W65" s="495"/>
      <c r="X65" s="495"/>
      <c r="Y65" s="495"/>
      <c r="Z65" s="496"/>
      <c r="AA65" s="495"/>
      <c r="AB65" s="495"/>
      <c r="AC65" s="495"/>
      <c r="AD65" s="495"/>
      <c r="AE65" s="495"/>
      <c r="AF65" s="495"/>
      <c r="AG65" s="495"/>
      <c r="AH65" s="495"/>
      <c r="AI65" s="495"/>
      <c r="AJ65" s="496"/>
    </row>
    <row r="66" spans="2:36" ht="20.100000000000001" customHeight="1" thickBot="1">
      <c r="B66" s="101"/>
      <c r="C66" s="517"/>
      <c r="D66" s="518"/>
      <c r="E66" s="519"/>
      <c r="F66" s="540"/>
      <c r="G66" s="541"/>
      <c r="H66" s="541"/>
      <c r="I66" s="541"/>
      <c r="J66" s="541"/>
      <c r="K66" s="543"/>
      <c r="Q66" s="523"/>
      <c r="R66" s="495"/>
      <c r="S66" s="495"/>
      <c r="T66" s="495"/>
      <c r="U66" s="495"/>
      <c r="V66" s="495"/>
      <c r="W66" s="495"/>
      <c r="X66" s="495"/>
      <c r="Y66" s="495"/>
      <c r="Z66" s="496"/>
      <c r="AA66" s="495"/>
      <c r="AB66" s="495"/>
      <c r="AC66" s="495"/>
      <c r="AD66" s="495"/>
      <c r="AE66" s="495"/>
      <c r="AF66" s="495"/>
      <c r="AG66" s="495"/>
      <c r="AH66" s="495"/>
      <c r="AI66" s="495"/>
      <c r="AJ66" s="496"/>
    </row>
    <row r="67" spans="2:36" ht="20.100000000000001" customHeight="1" thickBot="1">
      <c r="B67" s="101"/>
      <c r="C67" s="101"/>
      <c r="D67" s="101"/>
      <c r="E67" s="101"/>
      <c r="F67" s="49"/>
      <c r="G67" s="49"/>
      <c r="H67" s="49"/>
      <c r="I67" s="49"/>
      <c r="J67" s="49"/>
      <c r="K67" s="49"/>
      <c r="Q67" s="523"/>
      <c r="R67" s="495"/>
      <c r="S67" s="495"/>
      <c r="T67" s="495"/>
      <c r="U67" s="495"/>
      <c r="V67" s="495"/>
      <c r="W67" s="495"/>
      <c r="X67" s="495"/>
      <c r="Y67" s="495"/>
      <c r="Z67" s="496"/>
      <c r="AA67" s="495"/>
      <c r="AB67" s="495"/>
      <c r="AC67" s="495"/>
      <c r="AD67" s="495"/>
      <c r="AE67" s="495"/>
      <c r="AF67" s="495"/>
      <c r="AG67" s="495"/>
      <c r="AH67" s="495"/>
      <c r="AI67" s="495"/>
      <c r="AJ67" s="496"/>
    </row>
    <row r="68" spans="2:36" ht="20.100000000000001" customHeight="1">
      <c r="B68" s="535" t="s">
        <v>175</v>
      </c>
      <c r="C68" s="536"/>
      <c r="D68" s="536"/>
      <c r="E68" s="536"/>
      <c r="F68" s="536"/>
      <c r="G68" s="536"/>
      <c r="H68" s="536"/>
      <c r="I68" s="536"/>
      <c r="J68" s="536"/>
      <c r="K68" s="537"/>
      <c r="Q68" s="523"/>
      <c r="R68" s="495"/>
      <c r="S68" s="495"/>
      <c r="T68" s="495"/>
      <c r="U68" s="495"/>
      <c r="V68" s="495"/>
      <c r="W68" s="495"/>
      <c r="X68" s="495"/>
      <c r="Y68" s="495"/>
      <c r="Z68" s="496"/>
      <c r="AA68" s="495"/>
      <c r="AB68" s="495"/>
      <c r="AC68" s="495"/>
      <c r="AD68" s="495"/>
      <c r="AE68" s="495"/>
      <c r="AF68" s="495"/>
      <c r="AG68" s="495"/>
      <c r="AH68" s="495"/>
      <c r="AI68" s="495"/>
      <c r="AJ68" s="496"/>
    </row>
    <row r="69" spans="2:36" ht="20.100000000000001" customHeight="1">
      <c r="B69" s="499" t="str">
        <f>'Data Input'!B74</f>
        <v>N/A</v>
      </c>
      <c r="C69" s="500"/>
      <c r="D69" s="500"/>
      <c r="E69" s="500"/>
      <c r="F69" s="500"/>
      <c r="G69" s="500"/>
      <c r="H69" s="500"/>
      <c r="I69" s="500"/>
      <c r="J69" s="500"/>
      <c r="K69" s="501"/>
      <c r="Q69" s="523"/>
      <c r="R69" s="495"/>
      <c r="S69" s="495"/>
      <c r="T69" s="495"/>
      <c r="U69" s="495"/>
      <c r="V69" s="495"/>
      <c r="W69" s="495"/>
      <c r="X69" s="495"/>
      <c r="Y69" s="495"/>
      <c r="Z69" s="496"/>
      <c r="AA69" s="495"/>
      <c r="AB69" s="495"/>
      <c r="AC69" s="495"/>
      <c r="AD69" s="495"/>
      <c r="AE69" s="495"/>
      <c r="AF69" s="495"/>
      <c r="AG69" s="495"/>
      <c r="AH69" s="495"/>
      <c r="AI69" s="495"/>
      <c r="AJ69" s="496"/>
    </row>
    <row r="70" spans="2:36" ht="15.75" customHeight="1">
      <c r="B70" s="502"/>
      <c r="C70" s="503"/>
      <c r="D70" s="503"/>
      <c r="E70" s="503"/>
      <c r="F70" s="503"/>
      <c r="G70" s="503"/>
      <c r="H70" s="503"/>
      <c r="I70" s="503"/>
      <c r="J70" s="503"/>
      <c r="K70" s="504"/>
      <c r="Q70" s="523"/>
      <c r="R70" s="495"/>
      <c r="S70" s="495"/>
      <c r="T70" s="495"/>
      <c r="U70" s="495"/>
      <c r="V70" s="495"/>
      <c r="W70" s="495"/>
      <c r="X70" s="495"/>
      <c r="Y70" s="495"/>
      <c r="Z70" s="496"/>
      <c r="AA70" s="495"/>
      <c r="AB70" s="495"/>
      <c r="AC70" s="495"/>
      <c r="AD70" s="495"/>
      <c r="AE70" s="495"/>
      <c r="AF70" s="495"/>
      <c r="AG70" s="495"/>
      <c r="AH70" s="495"/>
      <c r="AI70" s="495"/>
      <c r="AJ70" s="496"/>
    </row>
    <row r="71" spans="2:36" ht="15.75" customHeight="1">
      <c r="B71" s="502"/>
      <c r="C71" s="503"/>
      <c r="D71" s="503"/>
      <c r="E71" s="503"/>
      <c r="F71" s="503"/>
      <c r="G71" s="503"/>
      <c r="H71" s="503"/>
      <c r="I71" s="503"/>
      <c r="J71" s="503"/>
      <c r="K71" s="504"/>
      <c r="Q71" s="523"/>
      <c r="R71" s="495"/>
      <c r="S71" s="495"/>
      <c r="T71" s="495"/>
      <c r="U71" s="495"/>
      <c r="V71" s="495"/>
      <c r="W71" s="495"/>
      <c r="X71" s="495"/>
      <c r="Y71" s="495"/>
      <c r="Z71" s="496"/>
      <c r="AA71" s="495"/>
      <c r="AB71" s="495"/>
      <c r="AC71" s="495"/>
      <c r="AD71" s="495"/>
      <c r="AE71" s="495"/>
      <c r="AF71" s="495"/>
      <c r="AG71" s="495"/>
      <c r="AH71" s="495"/>
      <c r="AI71" s="495"/>
      <c r="AJ71" s="496"/>
    </row>
    <row r="72" spans="2:36" ht="15.75" customHeight="1">
      <c r="B72" s="502"/>
      <c r="C72" s="503"/>
      <c r="D72" s="503"/>
      <c r="E72" s="503"/>
      <c r="F72" s="503"/>
      <c r="G72" s="503"/>
      <c r="H72" s="503"/>
      <c r="I72" s="503"/>
      <c r="J72" s="503"/>
      <c r="K72" s="504"/>
      <c r="Q72" s="523"/>
      <c r="R72" s="495"/>
      <c r="S72" s="495"/>
      <c r="T72" s="495"/>
      <c r="U72" s="495"/>
      <c r="V72" s="495"/>
      <c r="W72" s="495"/>
      <c r="X72" s="495"/>
      <c r="Y72" s="495"/>
      <c r="Z72" s="496"/>
      <c r="AA72" s="495"/>
      <c r="AB72" s="495"/>
      <c r="AC72" s="495"/>
      <c r="AD72" s="495"/>
      <c r="AE72" s="495"/>
      <c r="AF72" s="495"/>
      <c r="AG72" s="495"/>
      <c r="AH72" s="495"/>
      <c r="AI72" s="495"/>
      <c r="AJ72" s="496"/>
    </row>
    <row r="73" spans="2:36" ht="15.75" customHeight="1">
      <c r="B73" s="502"/>
      <c r="C73" s="503"/>
      <c r="D73" s="503"/>
      <c r="E73" s="503"/>
      <c r="F73" s="503"/>
      <c r="G73" s="503"/>
      <c r="H73" s="503"/>
      <c r="I73" s="503"/>
      <c r="J73" s="503"/>
      <c r="K73" s="504"/>
      <c r="Q73" s="523"/>
      <c r="R73" s="495"/>
      <c r="S73" s="495"/>
      <c r="T73" s="495"/>
      <c r="U73" s="495"/>
      <c r="V73" s="495"/>
      <c r="W73" s="495"/>
      <c r="X73" s="495"/>
      <c r="Y73" s="495"/>
      <c r="Z73" s="496"/>
      <c r="AA73" s="495"/>
      <c r="AB73" s="495"/>
      <c r="AC73" s="495"/>
      <c r="AD73" s="495"/>
      <c r="AE73" s="495"/>
      <c r="AF73" s="495"/>
      <c r="AG73" s="495"/>
      <c r="AH73" s="495"/>
      <c r="AI73" s="495"/>
      <c r="AJ73" s="496"/>
    </row>
    <row r="74" spans="2:36" ht="15.75" customHeight="1">
      <c r="B74" s="502"/>
      <c r="C74" s="503"/>
      <c r="D74" s="503"/>
      <c r="E74" s="503"/>
      <c r="F74" s="503"/>
      <c r="G74" s="503"/>
      <c r="H74" s="503"/>
      <c r="I74" s="503"/>
      <c r="J74" s="503"/>
      <c r="K74" s="504"/>
      <c r="Q74" s="523"/>
      <c r="R74" s="495"/>
      <c r="S74" s="495"/>
      <c r="T74" s="495"/>
      <c r="U74" s="495"/>
      <c r="V74" s="495"/>
      <c r="W74" s="495"/>
      <c r="X74" s="495"/>
      <c r="Y74" s="495"/>
      <c r="Z74" s="496"/>
      <c r="AA74" s="495"/>
      <c r="AB74" s="495"/>
      <c r="AC74" s="495"/>
      <c r="AD74" s="495"/>
      <c r="AE74" s="495"/>
      <c r="AF74" s="495"/>
      <c r="AG74" s="495"/>
      <c r="AH74" s="495"/>
      <c r="AI74" s="495"/>
      <c r="AJ74" s="496"/>
    </row>
    <row r="75" spans="2:36" ht="15.75" customHeight="1">
      <c r="B75" s="502"/>
      <c r="C75" s="503"/>
      <c r="D75" s="503"/>
      <c r="E75" s="503"/>
      <c r="F75" s="503"/>
      <c r="G75" s="503"/>
      <c r="H75" s="503"/>
      <c r="I75" s="503"/>
      <c r="J75" s="503"/>
      <c r="K75" s="504"/>
      <c r="Q75" s="523"/>
      <c r="R75" s="495"/>
      <c r="S75" s="495"/>
      <c r="T75" s="495"/>
      <c r="U75" s="495"/>
      <c r="V75" s="495"/>
      <c r="W75" s="495"/>
      <c r="X75" s="495"/>
      <c r="Y75" s="495"/>
      <c r="Z75" s="496"/>
      <c r="AA75" s="495"/>
      <c r="AB75" s="495"/>
      <c r="AC75" s="495"/>
      <c r="AD75" s="495"/>
      <c r="AE75" s="495"/>
      <c r="AF75" s="495"/>
      <c r="AG75" s="495"/>
      <c r="AH75" s="495"/>
      <c r="AI75" s="495"/>
      <c r="AJ75" s="496"/>
    </row>
    <row r="76" spans="2:36" ht="15.75" customHeight="1">
      <c r="B76" s="502"/>
      <c r="C76" s="503"/>
      <c r="D76" s="503"/>
      <c r="E76" s="503"/>
      <c r="F76" s="503"/>
      <c r="G76" s="503"/>
      <c r="H76" s="503"/>
      <c r="I76" s="503"/>
      <c r="J76" s="503"/>
      <c r="K76" s="504"/>
      <c r="Q76" s="523"/>
      <c r="R76" s="495"/>
      <c r="S76" s="495"/>
      <c r="T76" s="495"/>
      <c r="U76" s="495"/>
      <c r="V76" s="495"/>
      <c r="W76" s="495"/>
      <c r="X76" s="495"/>
      <c r="Y76" s="495"/>
      <c r="Z76" s="496"/>
      <c r="AA76" s="495"/>
      <c r="AB76" s="495"/>
      <c r="AC76" s="495"/>
      <c r="AD76" s="495"/>
      <c r="AE76" s="495"/>
      <c r="AF76" s="495"/>
      <c r="AG76" s="495"/>
      <c r="AH76" s="495"/>
      <c r="AI76" s="495"/>
      <c r="AJ76" s="496"/>
    </row>
    <row r="77" spans="2:36" ht="15.75" customHeight="1">
      <c r="B77" s="505"/>
      <c r="C77" s="506"/>
      <c r="D77" s="506"/>
      <c r="E77" s="506"/>
      <c r="F77" s="506"/>
      <c r="G77" s="506"/>
      <c r="H77" s="506"/>
      <c r="I77" s="506"/>
      <c r="J77" s="506"/>
      <c r="K77" s="507"/>
      <c r="Q77" s="523"/>
      <c r="R77" s="495"/>
      <c r="S77" s="495"/>
      <c r="T77" s="495"/>
      <c r="U77" s="495"/>
      <c r="V77" s="495"/>
      <c r="W77" s="495"/>
      <c r="X77" s="495"/>
      <c r="Y77" s="495"/>
      <c r="Z77" s="496"/>
      <c r="AA77" s="495"/>
      <c r="AB77" s="495"/>
      <c r="AC77" s="495"/>
      <c r="AD77" s="495"/>
      <c r="AE77" s="495"/>
      <c r="AF77" s="495"/>
      <c r="AG77" s="495"/>
      <c r="AH77" s="495"/>
      <c r="AI77" s="495"/>
      <c r="AJ77" s="496"/>
    </row>
    <row r="78" spans="2:36" ht="15.75" customHeight="1" thickBot="1">
      <c r="Q78" s="524"/>
      <c r="R78" s="497"/>
      <c r="S78" s="497"/>
      <c r="T78" s="497"/>
      <c r="U78" s="497"/>
      <c r="V78" s="497"/>
      <c r="W78" s="497"/>
      <c r="X78" s="497"/>
      <c r="Y78" s="497"/>
      <c r="Z78" s="498"/>
      <c r="AA78" s="497"/>
      <c r="AB78" s="497"/>
      <c r="AC78" s="497"/>
      <c r="AD78" s="497"/>
      <c r="AE78" s="497"/>
      <c r="AF78" s="497"/>
      <c r="AG78" s="497"/>
      <c r="AH78" s="497"/>
      <c r="AI78" s="497"/>
      <c r="AJ78" s="498"/>
    </row>
  </sheetData>
  <sheetProtection algorithmName="SHA-512" hashValue="RlT3T7ZHIf6hCCxWanWbA15TnySHDbgRLdBkUlyWV9lxqsRLfri24828BLnrHy+xIC74O9tkToVDaUM827b4iw==" saltValue="QMnEnO1YKKHa1WiyJ3FdKQ==" spinCount="100000" sheet="1" objects="1" scenarios="1"/>
  <mergeCells count="104">
    <mergeCell ref="J56:J58"/>
    <mergeCell ref="K56:K58"/>
    <mergeCell ref="F53:G55"/>
    <mergeCell ref="I53:I55"/>
    <mergeCell ref="J53:J55"/>
    <mergeCell ref="K53:K55"/>
    <mergeCell ref="F56:G58"/>
    <mergeCell ref="H56:H58"/>
    <mergeCell ref="I56:I58"/>
    <mergeCell ref="B48:B49"/>
    <mergeCell ref="J32:J34"/>
    <mergeCell ref="H36:I40"/>
    <mergeCell ref="H41:H43"/>
    <mergeCell ref="J36:K40"/>
    <mergeCell ref="J41:J43"/>
    <mergeCell ref="K23:K25"/>
    <mergeCell ref="J17:K17"/>
    <mergeCell ref="H53:H55"/>
    <mergeCell ref="H46:H47"/>
    <mergeCell ref="I46:I47"/>
    <mergeCell ref="J46:J47"/>
    <mergeCell ref="K46:K47"/>
    <mergeCell ref="K48:K50"/>
    <mergeCell ref="F46:F47"/>
    <mergeCell ref="G46:G47"/>
    <mergeCell ref="F48:F50"/>
    <mergeCell ref="F52:K52"/>
    <mergeCell ref="F45:K45"/>
    <mergeCell ref="F17:G25"/>
    <mergeCell ref="F26:G34"/>
    <mergeCell ref="F35:G43"/>
    <mergeCell ref="J27:K31"/>
    <mergeCell ref="G48:G50"/>
    <mergeCell ref="B4:B6"/>
    <mergeCell ref="H32:H34"/>
    <mergeCell ref="I23:I25"/>
    <mergeCell ref="H17:I17"/>
    <mergeCell ref="H26:I26"/>
    <mergeCell ref="C26:D26"/>
    <mergeCell ref="C27:D34"/>
    <mergeCell ref="B21:B22"/>
    <mergeCell ref="B24:B25"/>
    <mergeCell ref="B30:B31"/>
    <mergeCell ref="B33:B34"/>
    <mergeCell ref="F10:K10"/>
    <mergeCell ref="F11:K16"/>
    <mergeCell ref="J23:J25"/>
    <mergeCell ref="H48:H50"/>
    <mergeCell ref="I48:I50"/>
    <mergeCell ref="J48:J50"/>
    <mergeCell ref="H27:I31"/>
    <mergeCell ref="C7:E7"/>
    <mergeCell ref="C8:E8"/>
    <mergeCell ref="C4:I6"/>
    <mergeCell ref="J5:K5"/>
    <mergeCell ref="J4:K4"/>
    <mergeCell ref="B39:B40"/>
    <mergeCell ref="B42:B43"/>
    <mergeCell ref="B51:B52"/>
    <mergeCell ref="B58:B61"/>
    <mergeCell ref="C58:D61"/>
    <mergeCell ref="J6:K6"/>
    <mergeCell ref="B10:D10"/>
    <mergeCell ref="B11:D16"/>
    <mergeCell ref="I32:I34"/>
    <mergeCell ref="K32:K34"/>
    <mergeCell ref="I41:I43"/>
    <mergeCell ref="K41:K43"/>
    <mergeCell ref="B17:B19"/>
    <mergeCell ref="C17:D17"/>
    <mergeCell ref="C18:D25"/>
    <mergeCell ref="B26:B28"/>
    <mergeCell ref="J26:K26"/>
    <mergeCell ref="B35:B37"/>
    <mergeCell ref="C35:D35"/>
    <mergeCell ref="H35:I35"/>
    <mergeCell ref="J35:K35"/>
    <mergeCell ref="H18:I22"/>
    <mergeCell ref="H23:H25"/>
    <mergeCell ref="J18:K22"/>
    <mergeCell ref="I1:K1"/>
    <mergeCell ref="I2:K3"/>
    <mergeCell ref="Q1:AJ5"/>
    <mergeCell ref="AA6:AJ6"/>
    <mergeCell ref="Q6:Z6"/>
    <mergeCell ref="AA7:AJ78"/>
    <mergeCell ref="B69:K77"/>
    <mergeCell ref="C63:E64"/>
    <mergeCell ref="C65:E66"/>
    <mergeCell ref="M10:O23"/>
    <mergeCell ref="Q7:Z78"/>
    <mergeCell ref="B53:D53"/>
    <mergeCell ref="C54:D57"/>
    <mergeCell ref="B54:B57"/>
    <mergeCell ref="B68:K68"/>
    <mergeCell ref="F59:G66"/>
    <mergeCell ref="H59:H66"/>
    <mergeCell ref="I59:I66"/>
    <mergeCell ref="J59:J66"/>
    <mergeCell ref="K59:K66"/>
    <mergeCell ref="C36:D43"/>
    <mergeCell ref="B44:B46"/>
    <mergeCell ref="C44:D44"/>
    <mergeCell ref="C45:D52"/>
  </mergeCells>
  <conditionalFormatting sqref="B21:B22">
    <cfRule type="dataBar" priority="15">
      <dataBar>
        <cfvo type="num" val="0"/>
        <cfvo type="num" val="1"/>
        <color rgb="FF00B050"/>
      </dataBar>
      <extLst>
        <ext xmlns:x14="http://schemas.microsoft.com/office/spreadsheetml/2009/9/main" uri="{B025F937-C7B1-47D3-B67F-A62EFF666E3E}">
          <x14:id>{65155C39-E8B5-4D0F-9ADF-6AFBB1995147}</x14:id>
        </ext>
      </extLst>
    </cfRule>
  </conditionalFormatting>
  <conditionalFormatting sqref="B24:B25">
    <cfRule type="dataBar" priority="7">
      <dataBar>
        <cfvo type="num" val="0"/>
        <cfvo type="num" val="1"/>
        <color rgb="FF00B050"/>
      </dataBar>
      <extLst>
        <ext xmlns:x14="http://schemas.microsoft.com/office/spreadsheetml/2009/9/main" uri="{B025F937-C7B1-47D3-B67F-A62EFF666E3E}">
          <x14:id>{405BFFA6-E36A-4EF7-849A-1654BED788BF}</x14:id>
        </ext>
      </extLst>
    </cfRule>
  </conditionalFormatting>
  <conditionalFormatting sqref="B30:B31">
    <cfRule type="dataBar" priority="6">
      <dataBar>
        <cfvo type="num" val="0"/>
        <cfvo type="num" val="1"/>
        <color rgb="FF00B050"/>
      </dataBar>
      <extLst>
        <ext xmlns:x14="http://schemas.microsoft.com/office/spreadsheetml/2009/9/main" uri="{B025F937-C7B1-47D3-B67F-A62EFF666E3E}">
          <x14:id>{253D5C78-C245-4A62-BCA5-1C6D66D3E51C}</x14:id>
        </ext>
      </extLst>
    </cfRule>
  </conditionalFormatting>
  <conditionalFormatting sqref="B33:B34">
    <cfRule type="dataBar" priority="5">
      <dataBar>
        <cfvo type="num" val="0"/>
        <cfvo type="num" val="1"/>
        <color rgb="FF00B050"/>
      </dataBar>
      <extLst>
        <ext xmlns:x14="http://schemas.microsoft.com/office/spreadsheetml/2009/9/main" uri="{B025F937-C7B1-47D3-B67F-A62EFF666E3E}">
          <x14:id>{5B03C9B6-91DC-45AD-9A51-D5656A139076}</x14:id>
        </ext>
      </extLst>
    </cfRule>
  </conditionalFormatting>
  <conditionalFormatting sqref="B39:B40">
    <cfRule type="dataBar" priority="4">
      <dataBar>
        <cfvo type="num" val="0"/>
        <cfvo type="num" val="1"/>
        <color rgb="FF00B050"/>
      </dataBar>
      <extLst>
        <ext xmlns:x14="http://schemas.microsoft.com/office/spreadsheetml/2009/9/main" uri="{B025F937-C7B1-47D3-B67F-A62EFF666E3E}">
          <x14:id>{4CEB1E10-6FFD-43CE-8F98-2261CE58CAA5}</x14:id>
        </ext>
      </extLst>
    </cfRule>
  </conditionalFormatting>
  <conditionalFormatting sqref="B42:B43">
    <cfRule type="dataBar" priority="3">
      <dataBar>
        <cfvo type="num" val="0"/>
        <cfvo type="num" val="1"/>
        <color rgb="FF00B050"/>
      </dataBar>
      <extLst>
        <ext xmlns:x14="http://schemas.microsoft.com/office/spreadsheetml/2009/9/main" uri="{B025F937-C7B1-47D3-B67F-A62EFF666E3E}">
          <x14:id>{74BE618B-F364-4B76-9EF5-481962C1B6CC}</x14:id>
        </ext>
      </extLst>
    </cfRule>
  </conditionalFormatting>
  <conditionalFormatting sqref="B48:B49">
    <cfRule type="dataBar" priority="2">
      <dataBar>
        <cfvo type="num" val="0"/>
        <cfvo type="num" val="1"/>
        <color rgb="FF00B050"/>
      </dataBar>
      <extLst>
        <ext xmlns:x14="http://schemas.microsoft.com/office/spreadsheetml/2009/9/main" uri="{B025F937-C7B1-47D3-B67F-A62EFF666E3E}">
          <x14:id>{810477A4-252B-4D51-990E-87BCF025C79E}</x14:id>
        </ext>
      </extLst>
    </cfRule>
  </conditionalFormatting>
  <conditionalFormatting sqref="B51:B52">
    <cfRule type="dataBar" priority="1">
      <dataBar>
        <cfvo type="num" val="0"/>
        <cfvo type="num" val="1"/>
        <color rgb="FF00B050"/>
      </dataBar>
      <extLst>
        <ext xmlns:x14="http://schemas.microsoft.com/office/spreadsheetml/2009/9/main" uri="{B025F937-C7B1-47D3-B67F-A62EFF666E3E}">
          <x14:id>{01004E04-76AF-42DC-8F89-D7291DF81A91}</x14:id>
        </ext>
      </extLst>
    </cfRule>
  </conditionalFormatting>
  <printOptions horizontalCentered="1" gridLines="1"/>
  <pageMargins left="0.7" right="0.7" top="0.75" bottom="0.75" header="0" footer="0"/>
  <pageSetup scale="16" pageOrder="overThenDown" orientation="portrait" cellComments="atEnd" r:id="rId1"/>
  <drawing r:id="rId2"/>
  <legacyDrawing r:id="rId3"/>
  <extLst>
    <ext xmlns:x14="http://schemas.microsoft.com/office/spreadsheetml/2009/9/main" uri="{78C0D931-6437-407d-A8EE-F0AAD7539E65}">
      <x14:conditionalFormattings>
        <x14:conditionalFormatting xmlns:xm="http://schemas.microsoft.com/office/excel/2006/main">
          <x14:cfRule type="dataBar" id="{65155C39-E8B5-4D0F-9ADF-6AFBB1995147}">
            <x14:dataBar minLength="0" maxLength="100" gradient="0" direction="leftToRight">
              <x14:cfvo type="num">
                <xm:f>0</xm:f>
              </x14:cfvo>
              <x14:cfvo type="num">
                <xm:f>1</xm:f>
              </x14:cfvo>
              <x14:negativeFillColor rgb="FFFF0000"/>
              <x14:axisColor rgb="FF000000"/>
            </x14:dataBar>
          </x14:cfRule>
          <xm:sqref>B21:B22</xm:sqref>
        </x14:conditionalFormatting>
        <x14:conditionalFormatting xmlns:xm="http://schemas.microsoft.com/office/excel/2006/main">
          <x14:cfRule type="dataBar" id="{405BFFA6-E36A-4EF7-849A-1654BED788BF}">
            <x14:dataBar minLength="0" maxLength="100" gradient="0" direction="leftToRight">
              <x14:cfvo type="num">
                <xm:f>0</xm:f>
              </x14:cfvo>
              <x14:cfvo type="num">
                <xm:f>1</xm:f>
              </x14:cfvo>
              <x14:negativeFillColor rgb="FFFF0000"/>
              <x14:axisColor rgb="FF000000"/>
            </x14:dataBar>
          </x14:cfRule>
          <xm:sqref>B24:B25</xm:sqref>
        </x14:conditionalFormatting>
        <x14:conditionalFormatting xmlns:xm="http://schemas.microsoft.com/office/excel/2006/main">
          <x14:cfRule type="dataBar" id="{253D5C78-C245-4A62-BCA5-1C6D66D3E51C}">
            <x14:dataBar minLength="0" maxLength="100" gradient="0" direction="leftToRight">
              <x14:cfvo type="num">
                <xm:f>0</xm:f>
              </x14:cfvo>
              <x14:cfvo type="num">
                <xm:f>1</xm:f>
              </x14:cfvo>
              <x14:negativeFillColor rgb="FFFF0000"/>
              <x14:axisColor rgb="FF000000"/>
            </x14:dataBar>
          </x14:cfRule>
          <xm:sqref>B30:B31</xm:sqref>
        </x14:conditionalFormatting>
        <x14:conditionalFormatting xmlns:xm="http://schemas.microsoft.com/office/excel/2006/main">
          <x14:cfRule type="dataBar" id="{5B03C9B6-91DC-45AD-9A51-D5656A139076}">
            <x14:dataBar minLength="0" maxLength="100" gradient="0" direction="leftToRight">
              <x14:cfvo type="num">
                <xm:f>0</xm:f>
              </x14:cfvo>
              <x14:cfvo type="num">
                <xm:f>1</xm:f>
              </x14:cfvo>
              <x14:negativeFillColor rgb="FFFF0000"/>
              <x14:axisColor rgb="FF000000"/>
            </x14:dataBar>
          </x14:cfRule>
          <xm:sqref>B33:B34</xm:sqref>
        </x14:conditionalFormatting>
        <x14:conditionalFormatting xmlns:xm="http://schemas.microsoft.com/office/excel/2006/main">
          <x14:cfRule type="dataBar" id="{4CEB1E10-6FFD-43CE-8F98-2261CE58CAA5}">
            <x14:dataBar minLength="0" maxLength="100" gradient="0" direction="leftToRight">
              <x14:cfvo type="num">
                <xm:f>0</xm:f>
              </x14:cfvo>
              <x14:cfvo type="num">
                <xm:f>1</xm:f>
              </x14:cfvo>
              <x14:negativeFillColor rgb="FFFF0000"/>
              <x14:axisColor rgb="FF000000"/>
            </x14:dataBar>
          </x14:cfRule>
          <xm:sqref>B39:B40</xm:sqref>
        </x14:conditionalFormatting>
        <x14:conditionalFormatting xmlns:xm="http://schemas.microsoft.com/office/excel/2006/main">
          <x14:cfRule type="dataBar" id="{74BE618B-F364-4B76-9EF5-481962C1B6CC}">
            <x14:dataBar minLength="0" maxLength="100" gradient="0" direction="leftToRight">
              <x14:cfvo type="num">
                <xm:f>0</xm:f>
              </x14:cfvo>
              <x14:cfvo type="num">
                <xm:f>1</xm:f>
              </x14:cfvo>
              <x14:negativeFillColor rgb="FFFF0000"/>
              <x14:axisColor rgb="FF000000"/>
            </x14:dataBar>
          </x14:cfRule>
          <xm:sqref>B42:B43</xm:sqref>
        </x14:conditionalFormatting>
        <x14:conditionalFormatting xmlns:xm="http://schemas.microsoft.com/office/excel/2006/main">
          <x14:cfRule type="dataBar" id="{810477A4-252B-4D51-990E-87BCF025C79E}">
            <x14:dataBar minLength="0" maxLength="100" gradient="0" direction="leftToRight">
              <x14:cfvo type="num">
                <xm:f>0</xm:f>
              </x14:cfvo>
              <x14:cfvo type="num">
                <xm:f>1</xm:f>
              </x14:cfvo>
              <x14:negativeFillColor rgb="FFFF0000"/>
              <x14:axisColor rgb="FF000000"/>
            </x14:dataBar>
          </x14:cfRule>
          <xm:sqref>B48:B49</xm:sqref>
        </x14:conditionalFormatting>
        <x14:conditionalFormatting xmlns:xm="http://schemas.microsoft.com/office/excel/2006/main">
          <x14:cfRule type="dataBar" id="{01004E04-76AF-42DC-8F89-D7291DF81A91}">
            <x14:dataBar minLength="0" maxLength="100" gradient="0" direction="leftToRight">
              <x14:cfvo type="num">
                <xm:f>0</xm:f>
              </x14:cfvo>
              <x14:cfvo type="num">
                <xm:f>1</xm:f>
              </x14:cfvo>
              <x14:negativeFillColor rgb="FFFF0000"/>
              <x14:axisColor rgb="FF000000"/>
            </x14:dataBar>
          </x14:cfRule>
          <xm:sqref>B51:B52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AF847E3D-1B35-4355-A43D-C031040ADE4D}">
          <x14:formula1>
            <xm:f>'Dropdown format'!$A$2:$A$7</xm:f>
          </x14:formula1>
          <xm:sqref>B4:B6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07DF4-204F-4B8C-AE5F-ABAC4A6B4F08}">
  <dimension ref="A1:Q61"/>
  <sheetViews>
    <sheetView zoomScale="90" zoomScaleNormal="90" workbookViewId="0">
      <selection activeCell="L53" sqref="L53"/>
    </sheetView>
  </sheetViews>
  <sheetFormatPr defaultRowHeight="12.75"/>
  <cols>
    <col min="1" max="1" width="39.28515625" customWidth="1"/>
    <col min="2" max="2" width="17.85546875" customWidth="1"/>
    <col min="3" max="3" width="12.5703125" customWidth="1"/>
    <col min="5" max="5" width="11.85546875" customWidth="1"/>
    <col min="6" max="6" width="38.42578125" customWidth="1"/>
    <col min="7" max="7" width="18.28515625" customWidth="1"/>
    <col min="8" max="8" width="12.5703125" customWidth="1"/>
    <col min="11" max="11" width="15.85546875" customWidth="1"/>
    <col min="12" max="12" width="18.42578125" customWidth="1"/>
    <col min="13" max="13" width="26.140625" customWidth="1"/>
    <col min="14" max="14" width="9.28515625" customWidth="1"/>
  </cols>
  <sheetData>
    <row r="1" spans="1:14">
      <c r="A1" s="666" t="s">
        <v>176</v>
      </c>
      <c r="B1" s="666"/>
      <c r="C1" s="666"/>
      <c r="D1" s="666"/>
      <c r="E1" s="666"/>
      <c r="F1" s="666"/>
      <c r="G1" s="666"/>
      <c r="H1" s="666"/>
      <c r="I1" s="666"/>
      <c r="J1" s="666"/>
      <c r="K1" s="666"/>
      <c r="L1" s="666"/>
      <c r="M1" s="666"/>
      <c r="N1" s="666"/>
    </row>
    <row r="2" spans="1:14">
      <c r="A2" s="666"/>
      <c r="B2" s="666"/>
      <c r="C2" s="666"/>
      <c r="D2" s="666"/>
      <c r="E2" s="666"/>
      <c r="F2" s="666"/>
      <c r="G2" s="666"/>
      <c r="H2" s="666"/>
      <c r="I2" s="666"/>
      <c r="J2" s="666"/>
      <c r="K2" s="666"/>
      <c r="L2" s="666"/>
      <c r="M2" s="666"/>
      <c r="N2" s="666"/>
    </row>
    <row r="3" spans="1:14">
      <c r="A3" s="666"/>
      <c r="B3" s="666"/>
      <c r="C3" s="666"/>
      <c r="D3" s="666"/>
      <c r="E3" s="666"/>
      <c r="F3" s="666"/>
      <c r="G3" s="666"/>
      <c r="H3" s="666"/>
      <c r="I3" s="666"/>
      <c r="J3" s="666"/>
      <c r="K3" s="666"/>
      <c r="L3" s="666"/>
      <c r="M3" s="666"/>
      <c r="N3" s="666"/>
    </row>
    <row r="4" spans="1:14">
      <c r="A4" s="666"/>
      <c r="B4" s="666"/>
      <c r="C4" s="666"/>
      <c r="D4" s="666"/>
      <c r="E4" s="666"/>
      <c r="F4" s="666"/>
      <c r="G4" s="666"/>
      <c r="H4" s="666"/>
      <c r="I4" s="666"/>
      <c r="J4" s="666"/>
      <c r="K4" s="666"/>
      <c r="L4" s="666"/>
      <c r="M4" s="666"/>
      <c r="N4" s="666"/>
    </row>
    <row r="5" spans="1:14" ht="12.75" customHeight="1">
      <c r="A5" s="649" t="s">
        <v>177</v>
      </c>
      <c r="B5" s="649"/>
      <c r="C5" s="649"/>
      <c r="D5" s="649"/>
      <c r="F5" s="649" t="s">
        <v>178</v>
      </c>
      <c r="G5" s="649"/>
      <c r="H5" s="649"/>
      <c r="I5" s="649"/>
      <c r="K5" s="651" t="s">
        <v>179</v>
      </c>
      <c r="L5" s="652"/>
      <c r="M5" s="652"/>
      <c r="N5" s="652"/>
    </row>
    <row r="6" spans="1:14" ht="15.75" customHeight="1">
      <c r="A6" s="649"/>
      <c r="B6" s="649"/>
      <c r="C6" s="649"/>
      <c r="D6" s="649"/>
      <c r="F6" s="649"/>
      <c r="G6" s="649"/>
      <c r="H6" s="649"/>
      <c r="I6" s="649"/>
      <c r="K6" s="651"/>
      <c r="L6" s="652"/>
      <c r="M6" s="652"/>
      <c r="N6" s="652"/>
    </row>
    <row r="7" spans="1:14" ht="14.25" customHeight="1">
      <c r="A7" s="649"/>
      <c r="B7" s="649"/>
      <c r="C7" s="649"/>
      <c r="D7" s="649"/>
      <c r="F7" s="649"/>
      <c r="G7" s="649"/>
      <c r="H7" s="649"/>
      <c r="I7" s="649"/>
      <c r="K7" s="653"/>
      <c r="L7" s="654"/>
      <c r="M7" s="654"/>
      <c r="N7" s="654"/>
    </row>
    <row r="8" spans="1:14" ht="12.75" customHeight="1">
      <c r="A8" s="648" t="s">
        <v>180</v>
      </c>
      <c r="B8" s="646"/>
      <c r="C8" s="646"/>
      <c r="D8" s="644" t="s">
        <v>9</v>
      </c>
      <c r="F8" s="655" t="s">
        <v>181</v>
      </c>
      <c r="G8" s="655"/>
      <c r="H8" s="656"/>
      <c r="I8" s="644" t="s">
        <v>9</v>
      </c>
      <c r="K8" s="646" t="s">
        <v>182</v>
      </c>
      <c r="L8" s="646"/>
      <c r="M8" s="647"/>
      <c r="N8" s="661" t="s">
        <v>9</v>
      </c>
    </row>
    <row r="9" spans="1:14" ht="12.75" customHeight="1">
      <c r="A9" s="32" t="s">
        <v>183</v>
      </c>
      <c r="B9" s="32" t="s">
        <v>184</v>
      </c>
      <c r="C9" s="34" t="s">
        <v>185</v>
      </c>
      <c r="D9" s="644"/>
      <c r="F9" s="646"/>
      <c r="G9" s="646"/>
      <c r="H9" s="647"/>
      <c r="I9" s="644"/>
      <c r="K9" s="38"/>
      <c r="L9" s="39" t="s">
        <v>184</v>
      </c>
      <c r="M9" s="36" t="s">
        <v>185</v>
      </c>
      <c r="N9" s="662"/>
    </row>
    <row r="10" spans="1:14" ht="12.75" customHeight="1">
      <c r="A10" s="32" t="s">
        <v>186</v>
      </c>
      <c r="B10" s="68"/>
      <c r="C10" s="24">
        <f>(1-(B10/37))*100</f>
        <v>100</v>
      </c>
      <c r="D10" s="644"/>
      <c r="F10" s="32" t="s">
        <v>183</v>
      </c>
      <c r="G10" s="35" t="s">
        <v>184</v>
      </c>
      <c r="H10" s="36" t="s">
        <v>185</v>
      </c>
      <c r="I10" s="644"/>
      <c r="K10" s="34" t="s">
        <v>187</v>
      </c>
      <c r="L10" s="70"/>
      <c r="M10" s="28">
        <f>(1-(L10/50))*100</f>
        <v>100</v>
      </c>
      <c r="N10" s="663"/>
    </row>
    <row r="11" spans="1:14" ht="12.75" customHeight="1">
      <c r="A11" s="32" t="s">
        <v>188</v>
      </c>
      <c r="B11" s="69"/>
      <c r="C11" s="25">
        <f>(1-(B11/40))*100</f>
        <v>100</v>
      </c>
      <c r="D11" s="644"/>
      <c r="F11" s="37" t="s">
        <v>186</v>
      </c>
      <c r="G11" s="70"/>
      <c r="H11" s="28">
        <f>(G11/28)*100</f>
        <v>0</v>
      </c>
      <c r="I11" s="644"/>
    </row>
    <row r="12" spans="1:14" ht="12.75" customHeight="1">
      <c r="A12" s="32" t="s">
        <v>189</v>
      </c>
      <c r="B12" s="69"/>
      <c r="C12" s="25">
        <f>(1-(B12/10))*100</f>
        <v>100</v>
      </c>
      <c r="D12" s="644"/>
      <c r="F12" s="34" t="s">
        <v>190</v>
      </c>
      <c r="G12" s="70"/>
      <c r="H12" s="28">
        <f>(G12/40)*100</f>
        <v>0</v>
      </c>
      <c r="I12" s="644"/>
      <c r="K12" s="655" t="s">
        <v>191</v>
      </c>
      <c r="L12" s="655"/>
      <c r="M12" s="656"/>
      <c r="N12" s="661" t="s">
        <v>9</v>
      </c>
    </row>
    <row r="13" spans="1:14" ht="12.75" customHeight="1">
      <c r="A13" s="33" t="s">
        <v>192</v>
      </c>
      <c r="B13" s="70">
        <f>SUM(B10:B12)</f>
        <v>0</v>
      </c>
      <c r="C13" s="25">
        <f>(1-B13/87)*100</f>
        <v>100</v>
      </c>
      <c r="D13" s="645"/>
      <c r="F13" s="34" t="s">
        <v>193</v>
      </c>
      <c r="G13" s="70"/>
      <c r="H13" s="28">
        <f>(G13/20)*100</f>
        <v>0</v>
      </c>
      <c r="I13" s="644"/>
      <c r="K13" s="646"/>
      <c r="L13" s="646"/>
      <c r="M13" s="647"/>
      <c r="N13" s="662"/>
    </row>
    <row r="14" spans="1:14">
      <c r="F14" s="34" t="s">
        <v>194</v>
      </c>
      <c r="G14" s="70"/>
      <c r="H14" s="28">
        <f>(G14/32)*100</f>
        <v>0</v>
      </c>
      <c r="I14" s="644"/>
      <c r="K14" s="38"/>
      <c r="L14" s="39" t="s">
        <v>184</v>
      </c>
      <c r="M14" s="36" t="s">
        <v>185</v>
      </c>
      <c r="N14" s="662"/>
    </row>
    <row r="15" spans="1:14">
      <c r="A15" s="655" t="s">
        <v>195</v>
      </c>
      <c r="B15" s="655"/>
      <c r="C15" s="655"/>
      <c r="D15" s="650" t="s">
        <v>9</v>
      </c>
      <c r="F15" s="34" t="s">
        <v>196</v>
      </c>
      <c r="G15" s="70"/>
      <c r="H15" s="28">
        <f>(G15/40)*100</f>
        <v>0</v>
      </c>
      <c r="I15" s="644"/>
      <c r="K15" s="34" t="s">
        <v>187</v>
      </c>
      <c r="L15" s="70"/>
      <c r="M15" s="28">
        <f>(1-(L15/50))*100</f>
        <v>100</v>
      </c>
      <c r="N15" s="663"/>
    </row>
    <row r="16" spans="1:14" ht="12.75" customHeight="1">
      <c r="A16" s="646"/>
      <c r="B16" s="646"/>
      <c r="C16" s="646"/>
      <c r="D16" s="644"/>
      <c r="F16" s="33" t="s">
        <v>192</v>
      </c>
      <c r="G16" s="23">
        <f>SUM(G11:G15)</f>
        <v>0</v>
      </c>
      <c r="H16" s="28">
        <f>(G16/160)*100</f>
        <v>0</v>
      </c>
      <c r="I16" s="645"/>
    </row>
    <row r="17" spans="1:17" ht="12.75" customHeight="1">
      <c r="A17" s="32" t="s">
        <v>183</v>
      </c>
      <c r="B17" s="35" t="s">
        <v>184</v>
      </c>
      <c r="C17" s="36" t="s">
        <v>185</v>
      </c>
      <c r="D17" s="644"/>
      <c r="K17" s="649" t="s">
        <v>197</v>
      </c>
      <c r="L17" s="649"/>
      <c r="M17" s="649"/>
      <c r="N17" s="649"/>
    </row>
    <row r="18" spans="1:17" ht="12.75" customHeight="1">
      <c r="A18" s="37" t="s">
        <v>198</v>
      </c>
      <c r="B18" s="70"/>
      <c r="C18" s="26">
        <f>(B18/28)*100</f>
        <v>0</v>
      </c>
      <c r="D18" s="644"/>
      <c r="F18" s="657" t="s">
        <v>199</v>
      </c>
      <c r="G18" s="657"/>
      <c r="H18" s="658"/>
      <c r="I18" s="650" t="s">
        <v>9</v>
      </c>
      <c r="K18" s="649"/>
      <c r="L18" s="649"/>
      <c r="M18" s="649"/>
      <c r="N18" s="649"/>
    </row>
    <row r="19" spans="1:17" ht="13.5" customHeight="1">
      <c r="A19" s="34" t="s">
        <v>190</v>
      </c>
      <c r="B19" s="70"/>
      <c r="C19" s="26">
        <f>(B19/36)*100</f>
        <v>0</v>
      </c>
      <c r="D19" s="644"/>
      <c r="F19" s="659"/>
      <c r="G19" s="659"/>
      <c r="H19" s="660"/>
      <c r="I19" s="644"/>
      <c r="K19" s="649"/>
      <c r="L19" s="649"/>
      <c r="M19" s="649"/>
      <c r="N19" s="649"/>
    </row>
    <row r="20" spans="1:17" ht="13.5" customHeight="1">
      <c r="A20" s="34" t="s">
        <v>193</v>
      </c>
      <c r="B20" s="70"/>
      <c r="C20" s="26">
        <f>(B20/68)*100</f>
        <v>0</v>
      </c>
      <c r="D20" s="644"/>
      <c r="F20" s="32" t="s">
        <v>183</v>
      </c>
      <c r="G20" s="35" t="s">
        <v>184</v>
      </c>
      <c r="H20" s="36" t="s">
        <v>185</v>
      </c>
      <c r="I20" s="644"/>
      <c r="K20" s="657" t="s">
        <v>200</v>
      </c>
      <c r="L20" s="657"/>
      <c r="M20" s="658"/>
      <c r="N20" s="664" t="s">
        <v>9</v>
      </c>
    </row>
    <row r="21" spans="1:17" ht="12.75" customHeight="1">
      <c r="A21" s="34" t="s">
        <v>201</v>
      </c>
      <c r="B21" s="70"/>
      <c r="C21" s="26">
        <f>(B21/20*100)</f>
        <v>0</v>
      </c>
      <c r="D21" s="644"/>
      <c r="F21" s="37" t="s">
        <v>198</v>
      </c>
      <c r="G21" s="70"/>
      <c r="H21" s="25">
        <f>(G21/20)*100</f>
        <v>0</v>
      </c>
      <c r="I21" s="644"/>
      <c r="K21" s="657"/>
      <c r="L21" s="657"/>
      <c r="M21" s="658"/>
      <c r="N21" s="664"/>
    </row>
    <row r="22" spans="1:17" ht="12.75" customHeight="1">
      <c r="A22" s="34" t="s">
        <v>196</v>
      </c>
      <c r="B22" s="70"/>
      <c r="C22" s="26">
        <f>(B22/16)*100</f>
        <v>0</v>
      </c>
      <c r="D22" s="644"/>
      <c r="F22" s="34" t="s">
        <v>190</v>
      </c>
      <c r="G22" s="70"/>
      <c r="H22" s="25">
        <f>(G22/40)*100</f>
        <v>0</v>
      </c>
      <c r="I22" s="644"/>
      <c r="K22" s="659"/>
      <c r="L22" s="659"/>
      <c r="M22" s="660"/>
      <c r="N22" s="664"/>
    </row>
    <row r="23" spans="1:17" ht="12.75" customHeight="1">
      <c r="A23" s="33" t="s">
        <v>192</v>
      </c>
      <c r="B23" s="23">
        <f>SUM(B18:B22)</f>
        <v>0</v>
      </c>
      <c r="C23" s="25">
        <f>(B23/168)*100</f>
        <v>0</v>
      </c>
      <c r="D23" s="645"/>
      <c r="F23" s="34" t="s">
        <v>193</v>
      </c>
      <c r="G23" s="70"/>
      <c r="H23" s="25">
        <f>(G23/68)*100</f>
        <v>0</v>
      </c>
      <c r="I23" s="644"/>
      <c r="K23" s="38"/>
      <c r="L23" s="39" t="s">
        <v>184</v>
      </c>
      <c r="M23" s="36" t="s">
        <v>202</v>
      </c>
      <c r="N23" s="664"/>
      <c r="Q23" s="12"/>
    </row>
    <row r="24" spans="1:17" ht="12.75" customHeight="1">
      <c r="F24" s="34" t="s">
        <v>201</v>
      </c>
      <c r="G24" s="70"/>
      <c r="H24" s="25">
        <f>(G24/16)*100</f>
        <v>0</v>
      </c>
      <c r="I24" s="644"/>
      <c r="K24" s="34" t="s">
        <v>135</v>
      </c>
      <c r="L24" s="70"/>
      <c r="M24" s="28">
        <f>(L24/600)*100</f>
        <v>0</v>
      </c>
      <c r="N24" s="665"/>
    </row>
    <row r="25" spans="1:17" ht="13.5" customHeight="1">
      <c r="A25" s="657" t="s">
        <v>203</v>
      </c>
      <c r="B25" s="657"/>
      <c r="C25" s="657"/>
      <c r="D25" s="650" t="s">
        <v>9</v>
      </c>
      <c r="F25" s="34" t="s">
        <v>196</v>
      </c>
      <c r="G25" s="70"/>
      <c r="H25" s="25">
        <f>(G25/16)*100</f>
        <v>0</v>
      </c>
      <c r="I25" s="644"/>
    </row>
    <row r="26" spans="1:17" ht="13.5" customHeight="1">
      <c r="A26" s="657"/>
      <c r="B26" s="657"/>
      <c r="C26" s="657"/>
      <c r="D26" s="644"/>
      <c r="F26" s="33" t="s">
        <v>192</v>
      </c>
      <c r="G26" s="23">
        <f>SUM(G21:G25)</f>
        <v>0</v>
      </c>
      <c r="H26" s="25">
        <f>(G26/160)*100</f>
        <v>0</v>
      </c>
      <c r="I26" s="645"/>
      <c r="K26" s="657" t="s">
        <v>204</v>
      </c>
      <c r="L26" s="657"/>
      <c r="M26" s="658"/>
      <c r="N26" s="650" t="s">
        <v>9</v>
      </c>
    </row>
    <row r="27" spans="1:17" ht="14.25" customHeight="1">
      <c r="A27" s="659"/>
      <c r="B27" s="659"/>
      <c r="C27" s="659"/>
      <c r="D27" s="644"/>
      <c r="K27" s="657"/>
      <c r="L27" s="657"/>
      <c r="M27" s="658"/>
      <c r="N27" s="644"/>
    </row>
    <row r="28" spans="1:17" ht="12.75" customHeight="1">
      <c r="A28" s="38"/>
      <c r="B28" s="39" t="s">
        <v>184</v>
      </c>
      <c r="C28" s="36" t="s">
        <v>185</v>
      </c>
      <c r="D28" s="644"/>
      <c r="F28" s="657" t="s">
        <v>205</v>
      </c>
      <c r="G28" s="657"/>
      <c r="H28" s="658"/>
      <c r="I28" s="650" t="s">
        <v>9</v>
      </c>
      <c r="K28" s="657"/>
      <c r="L28" s="657"/>
      <c r="M28" s="658"/>
      <c r="N28" s="644"/>
    </row>
    <row r="29" spans="1:17" ht="12.75" customHeight="1">
      <c r="A29" s="34" t="s">
        <v>187</v>
      </c>
      <c r="B29" s="70"/>
      <c r="C29" s="27">
        <f>(1-(B29/66))*100</f>
        <v>100</v>
      </c>
      <c r="D29" s="645"/>
      <c r="F29" s="657"/>
      <c r="G29" s="657"/>
      <c r="H29" s="658"/>
      <c r="I29" s="644"/>
      <c r="K29" s="659"/>
      <c r="L29" s="659"/>
      <c r="M29" s="660"/>
      <c r="N29" s="644"/>
    </row>
    <row r="30" spans="1:17" ht="12.75" customHeight="1">
      <c r="F30" s="659"/>
      <c r="G30" s="659"/>
      <c r="H30" s="660"/>
      <c r="I30" s="644"/>
      <c r="K30" s="38"/>
      <c r="L30" s="39" t="s">
        <v>184</v>
      </c>
      <c r="M30" s="36" t="s">
        <v>202</v>
      </c>
      <c r="N30" s="644"/>
    </row>
    <row r="31" spans="1:17" ht="12.75" customHeight="1">
      <c r="A31" s="657" t="s">
        <v>205</v>
      </c>
      <c r="B31" s="657"/>
      <c r="C31" s="658"/>
      <c r="D31" s="650" t="s">
        <v>9</v>
      </c>
      <c r="F31" s="32" t="s">
        <v>183</v>
      </c>
      <c r="G31" s="39" t="s">
        <v>184</v>
      </c>
      <c r="H31" s="36" t="s">
        <v>185</v>
      </c>
      <c r="I31" s="644"/>
      <c r="K31" s="34" t="s">
        <v>206</v>
      </c>
      <c r="L31" s="70"/>
      <c r="M31" s="28">
        <f>(L31/42)*100</f>
        <v>0</v>
      </c>
      <c r="N31" s="644"/>
    </row>
    <row r="32" spans="1:17" ht="12.75" customHeight="1">
      <c r="A32" s="657"/>
      <c r="B32" s="657"/>
      <c r="C32" s="658"/>
      <c r="D32" s="644"/>
      <c r="F32" s="34" t="s">
        <v>190</v>
      </c>
      <c r="G32" s="70"/>
      <c r="H32" s="25">
        <f>(G32/20)*100</f>
        <v>0</v>
      </c>
      <c r="I32" s="644"/>
      <c r="K32" s="40" t="s">
        <v>207</v>
      </c>
      <c r="L32" s="249"/>
      <c r="M32" s="28">
        <f>(L32/24)*100</f>
        <v>0</v>
      </c>
      <c r="N32" s="644"/>
    </row>
    <row r="33" spans="1:14">
      <c r="A33" s="659"/>
      <c r="B33" s="659"/>
      <c r="C33" s="660"/>
      <c r="D33" s="644"/>
      <c r="F33" s="34" t="s">
        <v>208</v>
      </c>
      <c r="G33" s="70"/>
      <c r="H33" s="250">
        <f>(G33/8)*100</f>
        <v>0</v>
      </c>
      <c r="I33" s="644"/>
      <c r="K33" s="40" t="s">
        <v>209</v>
      </c>
      <c r="L33" s="23"/>
      <c r="M33" s="31">
        <f>(L33/96)*100</f>
        <v>0</v>
      </c>
      <c r="N33" s="645"/>
    </row>
    <row r="34" spans="1:14" ht="14.25" customHeight="1">
      <c r="A34" s="32" t="s">
        <v>183</v>
      </c>
      <c r="B34" s="39" t="s">
        <v>184</v>
      </c>
      <c r="C34" s="36" t="s">
        <v>185</v>
      </c>
      <c r="D34" s="644"/>
      <c r="F34" s="34" t="s">
        <v>210</v>
      </c>
      <c r="G34" s="251"/>
      <c r="H34" s="25">
        <f>(G34/68)*100</f>
        <v>0</v>
      </c>
      <c r="I34" s="644"/>
    </row>
    <row r="35" spans="1:14" ht="12.75" customHeight="1">
      <c r="A35" s="34" t="s">
        <v>190</v>
      </c>
      <c r="B35" s="70"/>
      <c r="C35" s="25">
        <f>(B35/20)*100</f>
        <v>0</v>
      </c>
      <c r="D35" s="644"/>
      <c r="F35" s="33" t="s">
        <v>209</v>
      </c>
      <c r="G35" s="23">
        <f>SUM(G32:G34)</f>
        <v>0</v>
      </c>
      <c r="H35" s="25">
        <f>(G35/96)*100</f>
        <v>0</v>
      </c>
      <c r="I35" s="645"/>
      <c r="K35" s="655" t="s">
        <v>211</v>
      </c>
      <c r="L35" s="655"/>
      <c r="M35" s="656"/>
      <c r="N35" s="667" t="s">
        <v>9</v>
      </c>
    </row>
    <row r="36" spans="1:14" ht="12.75" customHeight="1">
      <c r="A36" s="34" t="s">
        <v>208</v>
      </c>
      <c r="B36" s="70"/>
      <c r="C36" s="250">
        <f>(B36/8)*100</f>
        <v>0</v>
      </c>
      <c r="D36" s="644"/>
      <c r="K36" s="646"/>
      <c r="L36" s="646"/>
      <c r="M36" s="647"/>
      <c r="N36" s="668"/>
    </row>
    <row r="37" spans="1:14" ht="12.75" customHeight="1">
      <c r="A37" s="34" t="s">
        <v>210</v>
      </c>
      <c r="B37" s="251"/>
      <c r="C37" s="25">
        <f>(B37/68)*100</f>
        <v>0</v>
      </c>
      <c r="D37" s="644"/>
      <c r="F37" s="657" t="s">
        <v>203</v>
      </c>
      <c r="G37" s="657"/>
      <c r="H37" s="657"/>
      <c r="I37" s="650" t="s">
        <v>9</v>
      </c>
      <c r="K37" s="38"/>
      <c r="L37" s="39" t="s">
        <v>184</v>
      </c>
      <c r="M37" s="36" t="s">
        <v>202</v>
      </c>
      <c r="N37" s="668"/>
    </row>
    <row r="38" spans="1:14" ht="12.75" customHeight="1">
      <c r="A38" s="33" t="s">
        <v>209</v>
      </c>
      <c r="B38" s="23">
        <f>SUM(B35:B37)</f>
        <v>0</v>
      </c>
      <c r="C38" s="25">
        <f>(B38/96)*100</f>
        <v>0</v>
      </c>
      <c r="D38" s="645"/>
      <c r="F38" s="657"/>
      <c r="G38" s="657"/>
      <c r="H38" s="657"/>
      <c r="I38" s="644"/>
      <c r="K38" s="34" t="s">
        <v>135</v>
      </c>
      <c r="L38" s="70"/>
      <c r="M38" s="28">
        <f>(L38/44)*100</f>
        <v>0</v>
      </c>
      <c r="N38" s="669"/>
    </row>
    <row r="39" spans="1:14" ht="14.25" customHeight="1">
      <c r="F39" s="659"/>
      <c r="G39" s="659"/>
      <c r="H39" s="659"/>
      <c r="I39" s="644"/>
    </row>
    <row r="40" spans="1:14" ht="14.25" customHeight="1">
      <c r="A40" s="649" t="s">
        <v>212</v>
      </c>
      <c r="B40" s="649"/>
      <c r="C40" s="649"/>
      <c r="D40" s="649"/>
      <c r="F40" s="38"/>
      <c r="G40" s="39" t="s">
        <v>184</v>
      </c>
      <c r="H40" s="36" t="s">
        <v>185</v>
      </c>
      <c r="I40" s="644"/>
      <c r="K40" s="657" t="s">
        <v>213</v>
      </c>
      <c r="L40" s="657"/>
      <c r="M40" s="657"/>
      <c r="N40" s="670" t="s">
        <v>9</v>
      </c>
    </row>
    <row r="41" spans="1:14" ht="12.75" customHeight="1">
      <c r="A41" s="649"/>
      <c r="B41" s="649"/>
      <c r="C41" s="649"/>
      <c r="D41" s="649"/>
      <c r="F41" s="34" t="s">
        <v>187</v>
      </c>
      <c r="G41" s="70"/>
      <c r="H41" s="1">
        <f>(1-(G41/66))*100</f>
        <v>100</v>
      </c>
      <c r="I41" s="645"/>
      <c r="K41" s="657"/>
      <c r="L41" s="657"/>
      <c r="M41" s="657"/>
      <c r="N41" s="670"/>
    </row>
    <row r="42" spans="1:14" ht="12.75" customHeight="1">
      <c r="A42" s="649"/>
      <c r="B42" s="649"/>
      <c r="C42" s="649"/>
      <c r="D42" s="649"/>
      <c r="K42" s="659"/>
      <c r="L42" s="659"/>
      <c r="M42" s="659"/>
      <c r="N42" s="670"/>
    </row>
    <row r="43" spans="1:14" ht="12.75" customHeight="1">
      <c r="A43" s="655" t="s">
        <v>214</v>
      </c>
      <c r="B43" s="655"/>
      <c r="C43" s="655"/>
      <c r="D43" s="644" t="s">
        <v>9</v>
      </c>
      <c r="F43" s="649" t="s">
        <v>215</v>
      </c>
      <c r="G43" s="649"/>
      <c r="H43" s="649"/>
      <c r="I43" s="649"/>
      <c r="K43" s="38"/>
      <c r="L43" s="39" t="s">
        <v>184</v>
      </c>
      <c r="M43" s="36" t="s">
        <v>202</v>
      </c>
      <c r="N43" s="670"/>
    </row>
    <row r="44" spans="1:14" ht="12.75" customHeight="1">
      <c r="A44" s="646"/>
      <c r="B44" s="646"/>
      <c r="C44" s="646"/>
      <c r="D44" s="644"/>
      <c r="F44" s="649"/>
      <c r="G44" s="649"/>
      <c r="H44" s="649"/>
      <c r="I44" s="649"/>
      <c r="K44" s="34" t="s">
        <v>135</v>
      </c>
      <c r="L44" s="70"/>
      <c r="M44" s="28">
        <f>(L44/600)*100</f>
        <v>0</v>
      </c>
      <c r="N44" s="670"/>
    </row>
    <row r="45" spans="1:14">
      <c r="A45" s="32" t="s">
        <v>183</v>
      </c>
      <c r="B45" s="39" t="s">
        <v>184</v>
      </c>
      <c r="C45" s="36" t="s">
        <v>185</v>
      </c>
      <c r="D45" s="644"/>
      <c r="F45" s="649"/>
      <c r="G45" s="649"/>
      <c r="H45" s="649"/>
      <c r="I45" s="649"/>
    </row>
    <row r="46" spans="1:14" ht="13.5" customHeight="1">
      <c r="A46" s="32" t="s">
        <v>216</v>
      </c>
      <c r="B46" s="69"/>
      <c r="C46" s="26">
        <f>(B46/84)*100</f>
        <v>0</v>
      </c>
      <c r="D46" s="644"/>
      <c r="F46" s="655" t="s">
        <v>217</v>
      </c>
      <c r="G46" s="655"/>
      <c r="H46" s="655"/>
      <c r="I46" s="644" t="s">
        <v>9</v>
      </c>
    </row>
    <row r="47" spans="1:14" ht="12.75" customHeight="1">
      <c r="A47" s="32" t="s">
        <v>194</v>
      </c>
      <c r="B47" s="69"/>
      <c r="C47" s="26">
        <f>(B47/28)*100</f>
        <v>0</v>
      </c>
      <c r="D47" s="644"/>
      <c r="F47" s="646"/>
      <c r="G47" s="646"/>
      <c r="H47" s="646"/>
      <c r="I47" s="644"/>
    </row>
    <row r="48" spans="1:14" ht="12.75" customHeight="1">
      <c r="A48" s="40" t="s">
        <v>192</v>
      </c>
      <c r="B48" s="23">
        <f>SUM(B46:B47)</f>
        <v>0</v>
      </c>
      <c r="C48" s="28">
        <f>(B48/112)*100</f>
        <v>0</v>
      </c>
      <c r="D48" s="645"/>
      <c r="F48" s="32" t="s">
        <v>183</v>
      </c>
      <c r="G48" s="35" t="s">
        <v>184</v>
      </c>
      <c r="H48" s="36" t="s">
        <v>185</v>
      </c>
      <c r="I48" s="644"/>
    </row>
    <row r="49" spans="1:9" ht="12.75" customHeight="1">
      <c r="F49" s="34" t="s">
        <v>216</v>
      </c>
      <c r="G49" s="70"/>
      <c r="H49" s="25">
        <f>(1-(G49/55))*100</f>
        <v>100</v>
      </c>
      <c r="I49" s="644"/>
    </row>
    <row r="50" spans="1:9" ht="15" customHeight="1">
      <c r="A50" s="657" t="s">
        <v>203</v>
      </c>
      <c r="B50" s="657"/>
      <c r="C50" s="658"/>
      <c r="D50" s="650" t="s">
        <v>9</v>
      </c>
      <c r="F50" s="34" t="s">
        <v>206</v>
      </c>
      <c r="G50" s="70"/>
      <c r="H50" s="25">
        <f>(1-(G50/20))*100</f>
        <v>100</v>
      </c>
      <c r="I50" s="644"/>
    </row>
    <row r="51" spans="1:9" ht="12.75" customHeight="1">
      <c r="A51" s="657"/>
      <c r="B51" s="657"/>
      <c r="C51" s="658"/>
      <c r="D51" s="644"/>
      <c r="F51" s="34" t="s">
        <v>25</v>
      </c>
      <c r="G51" s="70"/>
      <c r="H51" s="25">
        <f>(1-(G51/20))*100</f>
        <v>100</v>
      </c>
      <c r="I51" s="644"/>
    </row>
    <row r="52" spans="1:9" ht="12.75" customHeight="1">
      <c r="A52" s="659"/>
      <c r="B52" s="659"/>
      <c r="C52" s="660"/>
      <c r="D52" s="644"/>
      <c r="F52" s="33" t="s">
        <v>192</v>
      </c>
      <c r="G52" s="23">
        <f>SUM(G49:G50)</f>
        <v>0</v>
      </c>
      <c r="H52" s="28">
        <f>(1-(G52/95))*100</f>
        <v>100</v>
      </c>
      <c r="I52" s="645"/>
    </row>
    <row r="53" spans="1:9" ht="12.75" customHeight="1">
      <c r="A53" s="38"/>
      <c r="B53" s="39" t="s">
        <v>184</v>
      </c>
      <c r="C53" s="36" t="s">
        <v>185</v>
      </c>
      <c r="D53" s="644"/>
    </row>
    <row r="54" spans="1:9" ht="12.75" customHeight="1">
      <c r="A54" s="34" t="s">
        <v>187</v>
      </c>
      <c r="B54" s="70"/>
      <c r="C54" s="27">
        <f>(1-(B54/66))*100</f>
        <v>100</v>
      </c>
      <c r="D54" s="645"/>
      <c r="F54" s="655" t="s">
        <v>218</v>
      </c>
      <c r="G54" s="655"/>
      <c r="H54" s="655"/>
      <c r="I54" s="671" t="s">
        <v>9</v>
      </c>
    </row>
    <row r="55" spans="1:9" ht="12.75" customHeight="1">
      <c r="F55" s="646"/>
      <c r="G55" s="646"/>
      <c r="H55" s="646"/>
      <c r="I55" s="671"/>
    </row>
    <row r="56" spans="1:9" ht="12.75" customHeight="1">
      <c r="F56" s="32" t="s">
        <v>183</v>
      </c>
      <c r="G56" s="35" t="s">
        <v>184</v>
      </c>
      <c r="H56" s="36" t="s">
        <v>185</v>
      </c>
      <c r="I56" s="671"/>
    </row>
    <row r="57" spans="1:9">
      <c r="F57" s="34" t="s">
        <v>219</v>
      </c>
      <c r="G57" s="70"/>
      <c r="H57" s="25">
        <f>(G57/1000)*100</f>
        <v>0</v>
      </c>
      <c r="I57" s="671"/>
    </row>
    <row r="58" spans="1:9">
      <c r="F58" s="34" t="s">
        <v>220</v>
      </c>
      <c r="G58" s="70"/>
      <c r="H58" s="25">
        <f>(G58/400)*100</f>
        <v>0</v>
      </c>
      <c r="I58" s="671"/>
    </row>
    <row r="59" spans="1:9">
      <c r="F59" s="34" t="s">
        <v>221</v>
      </c>
      <c r="G59" s="70"/>
      <c r="H59" s="25">
        <f>(G59/400)*100</f>
        <v>0</v>
      </c>
      <c r="I59" s="671"/>
    </row>
    <row r="60" spans="1:9">
      <c r="F60" s="33" t="s">
        <v>222</v>
      </c>
      <c r="G60" s="71"/>
      <c r="H60" s="29">
        <f>(G60/300)*100</f>
        <v>0</v>
      </c>
      <c r="I60" s="671"/>
    </row>
    <row r="61" spans="1:9">
      <c r="F61" s="41" t="s">
        <v>192</v>
      </c>
      <c r="G61" s="3">
        <f>SUM(G57:G60)</f>
        <v>0</v>
      </c>
      <c r="H61" s="30">
        <f>(G61/2100)*100</f>
        <v>0</v>
      </c>
      <c r="I61" s="671"/>
    </row>
  </sheetData>
  <sheetProtection algorithmName="SHA-512" hashValue="wZ2iJUp1ZN0s3oWRUZRAD7AaJ+Ckr0vMiyFQ9OIlGDzrJU9Ogaho2D01l6hUkYksfg1+TWoEz1uOvZc3zH6ShQ==" saltValue="ZXxyi6aTL1vq32lUDvzrYQ==" spinCount="100000" sheet="1" objects="1" scenarios="1"/>
  <mergeCells count="43">
    <mergeCell ref="A1:N4"/>
    <mergeCell ref="A50:C52"/>
    <mergeCell ref="N35:N38"/>
    <mergeCell ref="K35:M36"/>
    <mergeCell ref="I46:I52"/>
    <mergeCell ref="D50:D54"/>
    <mergeCell ref="K40:M42"/>
    <mergeCell ref="N40:N44"/>
    <mergeCell ref="F54:H55"/>
    <mergeCell ref="I54:I61"/>
    <mergeCell ref="F43:I45"/>
    <mergeCell ref="A31:C33"/>
    <mergeCell ref="D31:D38"/>
    <mergeCell ref="F46:H47"/>
    <mergeCell ref="F37:H39"/>
    <mergeCell ref="I37:I41"/>
    <mergeCell ref="A40:D42"/>
    <mergeCell ref="I28:I35"/>
    <mergeCell ref="A43:C44"/>
    <mergeCell ref="D25:D29"/>
    <mergeCell ref="D43:D48"/>
    <mergeCell ref="K5:N7"/>
    <mergeCell ref="F8:H9"/>
    <mergeCell ref="F18:H19"/>
    <mergeCell ref="F28:H30"/>
    <mergeCell ref="A15:C16"/>
    <mergeCell ref="D15:D23"/>
    <mergeCell ref="N8:N10"/>
    <mergeCell ref="K20:M22"/>
    <mergeCell ref="K12:M13"/>
    <mergeCell ref="K26:M29"/>
    <mergeCell ref="N12:N15"/>
    <mergeCell ref="A5:D7"/>
    <mergeCell ref="N20:N24"/>
    <mergeCell ref="N26:N33"/>
    <mergeCell ref="F5:I7"/>
    <mergeCell ref="A25:C27"/>
    <mergeCell ref="I8:I16"/>
    <mergeCell ref="K8:M8"/>
    <mergeCell ref="A8:C8"/>
    <mergeCell ref="D8:D13"/>
    <mergeCell ref="K17:N19"/>
    <mergeCell ref="I18:I26"/>
  </mergeCells>
  <hyperlinks>
    <hyperlink ref="D8:D13" r:id="rId1" display="https://orthotoolkit.com/ikdc/" xr:uid="{3FBAEA08-53A7-4CAE-9A3F-A5F738AF1457}"/>
    <hyperlink ref="D15:D23" r:id="rId2" display="Link" xr:uid="{BF3DDD35-AA18-4CD3-97FF-88DFF0B958A4}"/>
    <hyperlink ref="D25:D29" r:id="rId3" display="Link" xr:uid="{08AD9C1E-D270-475C-BCAF-E819B689356F}"/>
    <hyperlink ref="D43:D48" r:id="rId4" display="Link" xr:uid="{B74B0C96-BFB4-4C47-BB5D-85ACD2D9AEA2}"/>
    <hyperlink ref="I37:I41" r:id="rId5" display="Link" xr:uid="{DB9F11EC-623D-4F75-8E07-9AADB814E4A8}"/>
    <hyperlink ref="I46:I52" r:id="rId6" display="Link" xr:uid="{8ACE23AA-D66D-443E-9C93-063629C8DD3E}"/>
    <hyperlink ref="I28:I35" r:id="rId7" display="Link" xr:uid="{4FAD5B97-EFCC-4D23-84F5-7656F95C6406}"/>
    <hyperlink ref="I18:I26" r:id="rId8" display="Link" xr:uid="{8695B9FF-F02A-438D-8F33-2166A3A9EEC6}"/>
    <hyperlink ref="I8:I16" r:id="rId9" display="Link" xr:uid="{845C1FE9-6B29-4422-82B5-9B16D574E71F}"/>
    <hyperlink ref="N12:N15" r:id="rId10" display="Link" xr:uid="{B75D9593-0395-4BB4-A3AB-43A031E45FC3}"/>
    <hyperlink ref="N8:N10" r:id="rId11" display="Link" xr:uid="{9BC3AF4E-FF43-4513-8064-4C5CDC12E0EF}"/>
    <hyperlink ref="D31:D38" r:id="rId12" display="Link" xr:uid="{01707748-9DFD-4758-A547-711224674945}"/>
    <hyperlink ref="N26" r:id="rId13" display="https://www.sralab.org/sites/default/files/2017-06/fear_avoidance.pdf" xr:uid="{8396DE01-ED23-414D-99D5-1188CEFD996D}"/>
    <hyperlink ref="N26:N33" r:id="rId14" display="Link" xr:uid="{43CF3F02-0F14-4ACE-ADF5-81231D0C1589}"/>
    <hyperlink ref="N35" r:id="rId15" display="https://www.synergycwc.com/storage/app/media/tampa-scale-11-tsk-11.pdf" xr:uid="{D7E76F32-41BA-49FA-92CF-AA6855D9A114}"/>
    <hyperlink ref="N35:N38" r:id="rId16" display="Link" xr:uid="{53516AC6-2846-4763-B654-3B08CF4D29F1}"/>
    <hyperlink ref="I54:I60" r:id="rId17" display="Link" xr:uid="{DB86552C-AFA1-49B0-823B-BCA91B9E1FD8}"/>
    <hyperlink ref="N20:N24" r:id="rId18" display="Link" xr:uid="{65D3D5F5-7D3E-4904-B838-C53D650438E0}"/>
    <hyperlink ref="N40:N44" r:id="rId19" display="Link" xr:uid="{76CA8221-4F79-4051-89EF-A2C1979C9C96}"/>
  </hyperlinks>
  <pageMargins left="0.7" right="0.7" top="0.75" bottom="0.75" header="0.3" footer="0.3"/>
  <pageSetup orientation="portrait" r:id="rId2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8552CC-8492-428F-8754-10AC0D609489}">
  <dimension ref="A1:H33"/>
  <sheetViews>
    <sheetView topLeftCell="A5" zoomScale="90" zoomScaleNormal="90" workbookViewId="0">
      <selection sqref="A1:C5"/>
    </sheetView>
  </sheetViews>
  <sheetFormatPr defaultRowHeight="12.75"/>
  <cols>
    <col min="1" max="1" width="29.28515625" customWidth="1"/>
    <col min="2" max="2" width="119.28515625" customWidth="1"/>
    <col min="3" max="3" width="77.7109375" customWidth="1"/>
    <col min="4" max="4" width="9.140625" customWidth="1"/>
  </cols>
  <sheetData>
    <row r="1" spans="1:8" ht="408.75" customHeight="1">
      <c r="A1" s="8" t="s">
        <v>223</v>
      </c>
      <c r="B1" s="147" t="s">
        <v>224</v>
      </c>
      <c r="C1" s="143" t="s">
        <v>225</v>
      </c>
      <c r="D1" s="141"/>
      <c r="E1" s="141"/>
      <c r="F1" s="142"/>
      <c r="G1" s="142"/>
    </row>
    <row r="2" spans="1:8" ht="409.5">
      <c r="A2" s="8" t="s">
        <v>226</v>
      </c>
      <c r="B2" s="147" t="s">
        <v>227</v>
      </c>
      <c r="C2" s="143" t="s">
        <v>225</v>
      </c>
      <c r="D2" s="138"/>
      <c r="E2" s="141"/>
      <c r="F2" s="138"/>
      <c r="H2" s="138"/>
    </row>
    <row r="3" spans="1:8" ht="409.5">
      <c r="A3" s="8" t="s">
        <v>228</v>
      </c>
      <c r="B3" s="139" t="s">
        <v>229</v>
      </c>
      <c r="C3" s="139" t="s">
        <v>230</v>
      </c>
      <c r="D3" s="138"/>
      <c r="E3" s="138"/>
    </row>
    <row r="4" spans="1:8" ht="409.5">
      <c r="A4" s="8" t="s">
        <v>15</v>
      </c>
      <c r="B4" s="139" t="s">
        <v>231</v>
      </c>
      <c r="C4" s="139" t="s">
        <v>232</v>
      </c>
      <c r="D4" s="138"/>
      <c r="E4" s="138"/>
      <c r="F4" s="138"/>
      <c r="G4" s="138"/>
    </row>
    <row r="5" spans="1:8" ht="409.5">
      <c r="A5" s="8" t="s">
        <v>233</v>
      </c>
      <c r="B5" s="139" t="s">
        <v>234</v>
      </c>
      <c r="C5" s="139" t="s">
        <v>235</v>
      </c>
      <c r="D5" s="138"/>
      <c r="F5" s="138"/>
    </row>
    <row r="6" spans="1:8">
      <c r="A6" s="8"/>
      <c r="B6" s="139"/>
      <c r="C6" s="139"/>
      <c r="D6" s="138"/>
      <c r="E6" s="138"/>
      <c r="F6" s="138"/>
    </row>
    <row r="7" spans="1:8">
      <c r="A7" s="8"/>
      <c r="B7" s="140"/>
      <c r="C7" s="140"/>
      <c r="D7" s="138"/>
      <c r="E7" s="138"/>
      <c r="F7" s="138"/>
    </row>
    <row r="8" spans="1:8">
      <c r="B8" s="4"/>
      <c r="C8" s="4"/>
    </row>
    <row r="9" spans="1:8">
      <c r="B9" s="4"/>
      <c r="C9" s="4"/>
    </row>
    <row r="10" spans="1:8">
      <c r="B10" s="4"/>
      <c r="C10" s="4"/>
    </row>
    <row r="11" spans="1:8">
      <c r="B11" s="4"/>
      <c r="C11" s="4"/>
    </row>
    <row r="12" spans="1:8">
      <c r="B12" s="4"/>
      <c r="C12" s="4"/>
    </row>
    <row r="13" spans="1:8">
      <c r="B13" s="4"/>
      <c r="C13" s="4"/>
    </row>
    <row r="14" spans="1:8">
      <c r="B14" s="4"/>
      <c r="C14" s="4"/>
    </row>
    <row r="15" spans="1:8">
      <c r="B15" s="4"/>
      <c r="C15" s="4"/>
    </row>
    <row r="16" spans="1:8">
      <c r="B16" s="4"/>
      <c r="C16" s="4"/>
    </row>
    <row r="17" spans="2:3">
      <c r="B17" s="4"/>
      <c r="C17" s="4"/>
    </row>
    <row r="18" spans="2:3">
      <c r="B18" s="4"/>
      <c r="C18" s="4"/>
    </row>
    <row r="19" spans="2:3">
      <c r="B19" s="4"/>
      <c r="C19" s="4"/>
    </row>
    <row r="20" spans="2:3">
      <c r="B20" s="4"/>
      <c r="C20" s="4"/>
    </row>
    <row r="21" spans="2:3">
      <c r="B21" s="4"/>
      <c r="C21" s="4"/>
    </row>
    <row r="22" spans="2:3">
      <c r="B22" s="4"/>
      <c r="C22" s="4"/>
    </row>
    <row r="23" spans="2:3">
      <c r="B23" s="4"/>
      <c r="C23" s="4"/>
    </row>
    <row r="24" spans="2:3">
      <c r="B24" s="4"/>
      <c r="C24" s="4"/>
    </row>
    <row r="25" spans="2:3">
      <c r="B25" s="4"/>
      <c r="C25" s="4"/>
    </row>
    <row r="26" spans="2:3">
      <c r="B26" s="4"/>
      <c r="C26" s="4"/>
    </row>
    <row r="27" spans="2:3">
      <c r="B27" s="4"/>
      <c r="C27" s="4"/>
    </row>
    <row r="28" spans="2:3">
      <c r="B28" s="4"/>
      <c r="C28" s="4"/>
    </row>
    <row r="29" spans="2:3">
      <c r="B29" s="4"/>
      <c r="C29" s="4"/>
    </row>
    <row r="30" spans="2:3">
      <c r="B30" s="4"/>
      <c r="C30" s="4"/>
    </row>
    <row r="31" spans="2:3">
      <c r="B31" s="4"/>
      <c r="C31" s="4"/>
    </row>
    <row r="32" spans="2:3">
      <c r="B32" s="4"/>
      <c r="C32" s="4"/>
    </row>
    <row r="33" spans="2:3">
      <c r="B33" s="4"/>
      <c r="C33" s="4"/>
    </row>
  </sheetData>
  <sheetProtection algorithmName="SHA-512" hashValue="dyO4DQ37hq9JTUPq1lkOdUvfrXH4S1gCrL0Rtea5kC09zATbLdvGtIOEw5NTGb/3Jgnnuz+BqbpCU3ZnYsUHOQ==" saltValue="abIRVS0yg4isD/bKlE2vSw==" spinCount="100000" sheet="1" objects="1" scenarios="1"/>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2355E7-B142-4A88-9B5D-62E0C92BD208}">
  <dimension ref="A1:AL127"/>
  <sheetViews>
    <sheetView zoomScaleNormal="100" workbookViewId="0">
      <selection activeCell="J29" sqref="J29"/>
    </sheetView>
  </sheetViews>
  <sheetFormatPr defaultRowHeight="12.75"/>
  <cols>
    <col min="4" max="4" width="10.28515625" bestFit="1" customWidth="1"/>
    <col min="12" max="12" width="21.140625" bestFit="1" customWidth="1"/>
    <col min="26" max="26" width="9.5703125" bestFit="1" customWidth="1"/>
    <col min="27" max="27" width="18.7109375" customWidth="1"/>
    <col min="28" max="28" width="9.5703125" bestFit="1" customWidth="1"/>
  </cols>
  <sheetData>
    <row r="1" spans="1:38">
      <c r="A1" s="12"/>
      <c r="B1" s="12"/>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row>
    <row r="2" spans="1:38">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row>
    <row r="3" spans="1:38">
      <c r="A3" s="12"/>
      <c r="B3" s="12"/>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row>
    <row r="4" spans="1:38" ht="13.5" thickBot="1">
      <c r="A4" s="12"/>
      <c r="B4" s="12"/>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row>
    <row r="5" spans="1:38">
      <c r="A5" s="683" t="s">
        <v>15</v>
      </c>
      <c r="B5" s="684"/>
      <c r="C5" s="684"/>
      <c r="D5" s="684"/>
      <c r="E5" s="684"/>
      <c r="F5" s="684"/>
      <c r="G5" s="684"/>
      <c r="H5" s="685"/>
      <c r="I5" s="683" t="s">
        <v>223</v>
      </c>
      <c r="J5" s="684"/>
      <c r="K5" s="684"/>
      <c r="L5" s="684"/>
      <c r="M5" s="684"/>
      <c r="N5" s="684"/>
      <c r="O5" s="684"/>
      <c r="P5" s="685"/>
      <c r="Q5" s="683" t="s">
        <v>236</v>
      </c>
      <c r="R5" s="684"/>
      <c r="S5" s="684"/>
      <c r="T5" s="684"/>
      <c r="U5" s="684"/>
      <c r="V5" s="684"/>
      <c r="W5" s="684"/>
      <c r="X5" s="685"/>
      <c r="Y5" s="672" t="s">
        <v>237</v>
      </c>
      <c r="Z5" s="672"/>
      <c r="AA5" s="672"/>
      <c r="AB5" s="672"/>
      <c r="AC5" s="672"/>
      <c r="AD5" s="672"/>
      <c r="AI5" s="12"/>
      <c r="AJ5" s="12"/>
    </row>
    <row r="6" spans="1:38">
      <c r="A6" s="687" t="s">
        <v>238</v>
      </c>
      <c r="B6" s="688"/>
      <c r="C6" s="688"/>
      <c r="D6" s="688"/>
      <c r="E6" s="688"/>
      <c r="F6" s="688"/>
      <c r="G6" s="688"/>
      <c r="H6" s="689"/>
      <c r="I6" s="687" t="s">
        <v>238</v>
      </c>
      <c r="J6" s="688"/>
      <c r="K6" s="688"/>
      <c r="L6" s="688"/>
      <c r="M6" s="688"/>
      <c r="N6" s="688"/>
      <c r="O6" s="688"/>
      <c r="P6" s="689"/>
      <c r="Q6" s="687" t="s">
        <v>238</v>
      </c>
      <c r="R6" s="688"/>
      <c r="S6" s="688"/>
      <c r="T6" s="688"/>
      <c r="U6" s="688"/>
      <c r="V6" s="688"/>
      <c r="W6" s="688"/>
      <c r="X6" s="689"/>
      <c r="Y6" s="169"/>
      <c r="Z6" s="169"/>
      <c r="AA6" s="169" t="s">
        <v>15</v>
      </c>
      <c r="AB6" s="169"/>
      <c r="AC6" s="677" t="s">
        <v>228</v>
      </c>
      <c r="AD6" s="666"/>
      <c r="AE6" s="666"/>
      <c r="AF6" s="666"/>
      <c r="AG6" s="666"/>
      <c r="AH6" s="666"/>
      <c r="AI6" s="12"/>
      <c r="AJ6" s="12"/>
      <c r="AL6" s="8" t="s">
        <v>223</v>
      </c>
    </row>
    <row r="7" spans="1:38">
      <c r="A7" s="686" t="s">
        <v>239</v>
      </c>
      <c r="B7" s="666"/>
      <c r="C7" s="666"/>
      <c r="D7" s="666"/>
      <c r="H7" s="72"/>
      <c r="I7" s="686" t="s">
        <v>240</v>
      </c>
      <c r="J7" s="666"/>
      <c r="K7" s="666"/>
      <c r="L7" s="666"/>
      <c r="P7" s="72"/>
      <c r="Q7" s="686" t="s">
        <v>241</v>
      </c>
      <c r="R7" s="666"/>
      <c r="S7" s="666"/>
      <c r="T7" s="666"/>
      <c r="X7" s="72"/>
      <c r="Y7" s="170" t="s">
        <v>242</v>
      </c>
      <c r="Z7" s="73">
        <f>'Data Input'!H37/2.2</f>
        <v>0</v>
      </c>
      <c r="AA7" s="170" t="s">
        <v>243</v>
      </c>
      <c r="AB7" s="73">
        <f>'Data Input'!H36/2.2</f>
        <v>0</v>
      </c>
      <c r="AC7" s="675" t="s">
        <v>244</v>
      </c>
      <c r="AD7" s="676"/>
      <c r="AE7" s="678" t="s">
        <v>245</v>
      </c>
      <c r="AF7" s="666"/>
      <c r="AI7" s="12"/>
      <c r="AJ7" s="12"/>
      <c r="AL7" s="8" t="s">
        <v>226</v>
      </c>
    </row>
    <row r="8" spans="1:38">
      <c r="A8" s="74"/>
      <c r="C8" t="s">
        <v>246</v>
      </c>
      <c r="H8" s="72"/>
      <c r="I8" s="74"/>
      <c r="K8" t="s">
        <v>246</v>
      </c>
      <c r="P8" s="72"/>
      <c r="Q8" s="74"/>
      <c r="S8" t="s">
        <v>246</v>
      </c>
      <c r="X8" s="72"/>
      <c r="Y8" s="170" t="s">
        <v>247</v>
      </c>
      <c r="Z8" s="73">
        <f>'Data Input'!I37/2.2</f>
        <v>0</v>
      </c>
      <c r="AA8" s="170" t="s">
        <v>248</v>
      </c>
      <c r="AB8" s="73">
        <f>'Data Input'!I36/2.2</f>
        <v>0</v>
      </c>
      <c r="AC8" s="252" t="s">
        <v>249</v>
      </c>
      <c r="AD8" s="3">
        <f>'Data Input'!H22/2.2</f>
        <v>0</v>
      </c>
      <c r="AE8" s="114" t="s">
        <v>250</v>
      </c>
      <c r="AF8" s="75">
        <f>'Data Input'!H33/2.2</f>
        <v>0</v>
      </c>
      <c r="AI8" s="12"/>
      <c r="AJ8" s="12"/>
      <c r="AL8" s="8" t="s">
        <v>228</v>
      </c>
    </row>
    <row r="9" spans="1:38">
      <c r="A9" s="74"/>
      <c r="B9" s="10">
        <f>IF('Data Input'!$J$36&gt;1,1,'Data Input'!$J$36)</f>
        <v>1</v>
      </c>
      <c r="C9">
        <v>0.03</v>
      </c>
      <c r="D9">
        <f>2-SUM(B9:C9)</f>
        <v>0.97</v>
      </c>
      <c r="H9" s="72"/>
      <c r="I9" s="74"/>
      <c r="J9" s="10">
        <f>IF('Data Input'!$J$13&gt;1,1,'Data Input'!$J$13)</f>
        <v>1</v>
      </c>
      <c r="K9">
        <v>0.03</v>
      </c>
      <c r="L9">
        <f>2-SUM(J9:K9)</f>
        <v>0.97</v>
      </c>
      <c r="P9" s="72"/>
      <c r="Q9" s="74"/>
      <c r="R9" s="10">
        <f>IF('Data Input'!$J$22&gt;1,1,'Data Input'!$J$22)</f>
        <v>1</v>
      </c>
      <c r="S9">
        <v>0.03</v>
      </c>
      <c r="T9">
        <f>2-SUM(R9:S9)</f>
        <v>0.97</v>
      </c>
      <c r="X9" s="72"/>
      <c r="Y9" s="171"/>
      <c r="Z9" s="73"/>
      <c r="AA9" s="170" t="s">
        <v>251</v>
      </c>
      <c r="AB9" s="73">
        <f>'Data Input'!E41</f>
        <v>90</v>
      </c>
      <c r="AC9" s="252" t="s">
        <v>252</v>
      </c>
      <c r="AD9" s="3">
        <f>'Data Input'!I22/2.2</f>
        <v>0</v>
      </c>
      <c r="AE9" s="114"/>
      <c r="AF9" s="75"/>
      <c r="AI9" s="12"/>
      <c r="AJ9" s="12"/>
      <c r="AL9" s="8" t="s">
        <v>15</v>
      </c>
    </row>
    <row r="10" spans="1:38" ht="12.75" customHeight="1">
      <c r="A10" s="74"/>
      <c r="H10" s="72"/>
      <c r="I10" s="74"/>
      <c r="P10" s="72"/>
      <c r="Q10" s="74"/>
      <c r="X10" s="72"/>
      <c r="Y10" s="171"/>
      <c r="Z10" s="73"/>
      <c r="AA10" s="171"/>
      <c r="AB10" s="73"/>
      <c r="AC10" s="680" t="s">
        <v>244</v>
      </c>
      <c r="AD10" s="681"/>
      <c r="AE10" s="681"/>
      <c r="AF10" s="682"/>
      <c r="AI10" s="12"/>
      <c r="AJ10" s="12"/>
      <c r="AL10" s="8" t="s">
        <v>253</v>
      </c>
    </row>
    <row r="11" spans="1:38">
      <c r="A11" s="74"/>
      <c r="H11" s="72"/>
      <c r="I11" s="74"/>
      <c r="P11" s="72"/>
      <c r="Q11" s="74"/>
      <c r="X11" s="72"/>
      <c r="Y11" s="170" t="s">
        <v>254</v>
      </c>
      <c r="Z11" s="73">
        <f>(Z7*9.807)*('Data Input'!J38/100)*(SIN(RADIANS(90)))</f>
        <v>0</v>
      </c>
      <c r="AA11" s="170" t="s">
        <v>254</v>
      </c>
      <c r="AB11" s="73">
        <f>(AB7*9.807)*('Data Input'!J38/100)*(SIN(RADIANS(AB9)))</f>
        <v>0</v>
      </c>
      <c r="AC11" s="172"/>
      <c r="AD11" s="3"/>
      <c r="AE11" s="114" t="s">
        <v>255</v>
      </c>
      <c r="AF11" s="75" t="e">
        <f>((AF8*9.81)*('Data Input'!H28/100))/(AD14)</f>
        <v>#DIV/0!</v>
      </c>
      <c r="AI11" s="12"/>
      <c r="AJ11" s="12"/>
      <c r="AL11" s="8" t="s">
        <v>256</v>
      </c>
    </row>
    <row r="12" spans="1:38">
      <c r="A12" s="74"/>
      <c r="H12" s="72"/>
      <c r="I12" s="74"/>
      <c r="P12" s="72"/>
      <c r="Q12" s="74"/>
      <c r="X12" s="72"/>
      <c r="Y12" s="170" t="s">
        <v>257</v>
      </c>
      <c r="Z12" s="73">
        <f>(Z8*9.807)*('Data Input'!J38/100)*(SIN(RADIANS(90)))</f>
        <v>0</v>
      </c>
      <c r="AA12" s="170" t="s">
        <v>257</v>
      </c>
      <c r="AB12" s="73">
        <f>(AB8*9.807)*('Data Input'!J38/100)*SIN(RADIANS(AB9))</f>
        <v>0</v>
      </c>
      <c r="AC12" s="252" t="s">
        <v>254</v>
      </c>
      <c r="AD12" s="3">
        <f>(AD8*9.807)*('Data Input'!H28/100)*SIN(RADIANS(30))</f>
        <v>0</v>
      </c>
      <c r="AE12" s="114" t="s">
        <v>258</v>
      </c>
      <c r="AF12" s="75" t="e">
        <f>(AD8*9.807)/AD14</f>
        <v>#DIV/0!</v>
      </c>
      <c r="AI12" s="12"/>
      <c r="AJ12" s="12"/>
    </row>
    <row r="13" spans="1:38">
      <c r="A13" s="74"/>
      <c r="H13" s="72"/>
      <c r="I13" s="74"/>
      <c r="P13" s="72"/>
      <c r="Q13" s="74"/>
      <c r="X13" s="72"/>
      <c r="Y13" s="170" t="s">
        <v>259</v>
      </c>
      <c r="Z13" s="253">
        <f>'Data Input'!J39/2.2</f>
        <v>0</v>
      </c>
      <c r="AA13" s="170" t="s">
        <v>259</v>
      </c>
      <c r="AB13" s="73">
        <f>('Data Input'!J39/2.2)</f>
        <v>0</v>
      </c>
      <c r="AC13" s="252" t="s">
        <v>257</v>
      </c>
      <c r="AD13" s="3">
        <f>(AD9*9.807)*('Data Input'!H28/100)*SIN(RADIANS(30))</f>
        <v>0</v>
      </c>
      <c r="AE13" s="114" t="s">
        <v>260</v>
      </c>
      <c r="AF13" s="75" t="e">
        <f>(AD9*9.807)/AD14</f>
        <v>#DIV/0!</v>
      </c>
      <c r="AI13" s="12"/>
      <c r="AJ13" s="12"/>
    </row>
    <row r="14" spans="1:38">
      <c r="A14" s="74"/>
      <c r="H14" s="72"/>
      <c r="I14" s="74"/>
      <c r="P14" s="72"/>
      <c r="Q14" s="74"/>
      <c r="X14" s="72"/>
      <c r="Y14" s="170" t="s">
        <v>261</v>
      </c>
      <c r="Z14" s="167" t="e">
        <f>((Z11/Z13))/3</f>
        <v>#DIV/0!</v>
      </c>
      <c r="AA14" s="171"/>
      <c r="AB14" s="75"/>
      <c r="AC14" s="252" t="s">
        <v>259</v>
      </c>
      <c r="AD14" s="3">
        <f>('Data Input'!J28/2.2)</f>
        <v>0</v>
      </c>
      <c r="AE14" s="114"/>
      <c r="AF14" s="75"/>
      <c r="AI14" s="12"/>
      <c r="AJ14" s="12"/>
    </row>
    <row r="15" spans="1:38">
      <c r="A15" s="686" t="s">
        <v>262</v>
      </c>
      <c r="B15" s="666"/>
      <c r="C15" s="666"/>
      <c r="D15" s="666"/>
      <c r="H15" s="72"/>
      <c r="I15" s="686" t="s">
        <v>263</v>
      </c>
      <c r="J15" s="666"/>
      <c r="K15" s="666"/>
      <c r="L15" s="666"/>
      <c r="P15" s="72"/>
      <c r="Q15" s="686" t="s">
        <v>264</v>
      </c>
      <c r="R15" s="666"/>
      <c r="S15" s="666"/>
      <c r="T15" s="666"/>
      <c r="X15" s="72"/>
      <c r="Y15" s="170" t="s">
        <v>265</v>
      </c>
      <c r="Z15" s="167" t="e">
        <f>(Z12/Z13)/3</f>
        <v>#DIV/0!</v>
      </c>
      <c r="AA15" s="673" t="s">
        <v>266</v>
      </c>
      <c r="AB15" s="674"/>
      <c r="AC15" s="673" t="s">
        <v>267</v>
      </c>
      <c r="AD15" s="679"/>
      <c r="AE15" s="679"/>
      <c r="AF15" s="674"/>
      <c r="AJ15" s="12"/>
    </row>
    <row r="16" spans="1:38">
      <c r="A16" s="74"/>
      <c r="B16" s="9"/>
      <c r="C16" s="9" t="s">
        <v>246</v>
      </c>
      <c r="D16" s="9"/>
      <c r="H16" s="72"/>
      <c r="I16" s="74"/>
      <c r="J16" s="76"/>
      <c r="K16" s="9" t="s">
        <v>246</v>
      </c>
      <c r="L16" s="9"/>
      <c r="P16" s="72"/>
      <c r="Q16" s="74"/>
      <c r="R16" s="9"/>
      <c r="S16" s="9" t="s">
        <v>246</v>
      </c>
      <c r="T16" s="9"/>
      <c r="X16" s="72"/>
      <c r="Y16" s="171"/>
      <c r="Z16" s="75"/>
      <c r="AA16" s="252" t="s">
        <v>268</v>
      </c>
      <c r="AB16" s="77">
        <f>'Data Input'!H37/2.2</f>
        <v>0</v>
      </c>
      <c r="AC16" s="173"/>
      <c r="AD16" s="173"/>
      <c r="AE16" s="75"/>
      <c r="AF16" s="75"/>
      <c r="AI16" s="12"/>
      <c r="AJ16" s="12"/>
    </row>
    <row r="17" spans="1:36">
      <c r="A17" s="74"/>
      <c r="B17" s="10">
        <f>IF('Data Input'!$J$37&gt;1,1,'Data Input'!$J$37)</f>
        <v>1</v>
      </c>
      <c r="C17">
        <v>0.03</v>
      </c>
      <c r="D17">
        <f>2-SUM(B17:C17)</f>
        <v>0.97</v>
      </c>
      <c r="H17" s="72"/>
      <c r="I17" s="74"/>
      <c r="J17" s="10">
        <f>IF('Data Input'!$J$14&gt;1,1,'Data Input'!$J$14)</f>
        <v>1</v>
      </c>
      <c r="K17">
        <v>0.03</v>
      </c>
      <c r="L17" s="10">
        <f>2-SUM(J17:K17)</f>
        <v>0.97</v>
      </c>
      <c r="P17" s="72"/>
      <c r="Q17" s="74"/>
      <c r="R17" s="10">
        <f>IF('Data Input'!$J$23&gt;1,1,'Data Input'!$J$23)</f>
        <v>1</v>
      </c>
      <c r="S17">
        <v>0.03</v>
      </c>
      <c r="T17">
        <f>2-SUM(R17:S17)</f>
        <v>0.97</v>
      </c>
      <c r="X17" s="72"/>
      <c r="Y17" s="171"/>
      <c r="Z17" s="75"/>
      <c r="AA17" s="252" t="s">
        <v>269</v>
      </c>
      <c r="AB17" s="77">
        <f>'Data Input'!I37/2.2</f>
        <v>0</v>
      </c>
      <c r="AC17" s="252" t="s">
        <v>270</v>
      </c>
      <c r="AD17" s="3">
        <f>'Data Input'!H23/2.2</f>
        <v>0</v>
      </c>
      <c r="AE17" s="114" t="s">
        <v>271</v>
      </c>
      <c r="AF17" s="75" t="e">
        <f>(AD17*9.807)/AD14</f>
        <v>#DIV/0!</v>
      </c>
      <c r="AI17" s="12"/>
      <c r="AJ17" s="12"/>
    </row>
    <row r="18" spans="1:36">
      <c r="A18" s="74"/>
      <c r="H18" s="72"/>
      <c r="I18" s="74"/>
      <c r="P18" s="72"/>
      <c r="Q18" s="74"/>
      <c r="X18" s="72"/>
      <c r="Y18" s="171"/>
      <c r="Z18" s="75"/>
      <c r="AA18" s="172"/>
      <c r="AB18" s="77"/>
      <c r="AC18" s="252" t="s">
        <v>272</v>
      </c>
      <c r="AD18" s="3">
        <f>'Data Input'!I23/2.2</f>
        <v>0</v>
      </c>
      <c r="AE18" s="114" t="s">
        <v>273</v>
      </c>
      <c r="AF18" s="75" t="e">
        <f>(AD18*9.807)/AD14</f>
        <v>#DIV/0!</v>
      </c>
      <c r="AI18" s="12"/>
      <c r="AJ18" s="12"/>
    </row>
    <row r="19" spans="1:36">
      <c r="A19" s="74"/>
      <c r="H19" s="72"/>
      <c r="I19" s="74"/>
      <c r="P19" s="72"/>
      <c r="Q19" s="74"/>
      <c r="X19" s="72"/>
      <c r="Y19" s="171"/>
      <c r="Z19" s="75"/>
      <c r="AA19" s="172"/>
      <c r="AB19" s="77"/>
      <c r="AC19" s="172"/>
      <c r="AD19" s="3"/>
      <c r="AE19" s="75"/>
      <c r="AF19" s="75"/>
      <c r="AI19" s="12"/>
      <c r="AJ19" s="12"/>
    </row>
    <row r="20" spans="1:36">
      <c r="A20" s="74"/>
      <c r="B20" s="10"/>
      <c r="H20" s="72"/>
      <c r="I20" s="74"/>
      <c r="J20" s="10"/>
      <c r="P20" s="72"/>
      <c r="Q20" s="74"/>
      <c r="R20" s="10"/>
      <c r="X20" s="72"/>
      <c r="Y20" s="171"/>
      <c r="Z20" s="75"/>
      <c r="AA20" s="252" t="s">
        <v>254</v>
      </c>
      <c r="AB20" s="77">
        <f>(AB16*9.807)*('Data Input'!J38/100)*SIN(AB9)</f>
        <v>0</v>
      </c>
      <c r="AC20" s="172"/>
      <c r="AD20" s="3"/>
      <c r="AE20" s="75"/>
      <c r="AF20" s="75"/>
      <c r="AI20" s="12"/>
      <c r="AJ20" s="12"/>
    </row>
    <row r="21" spans="1:36">
      <c r="A21" s="74"/>
      <c r="H21" s="72"/>
      <c r="I21" s="74"/>
      <c r="P21" s="72"/>
      <c r="Q21" s="74"/>
      <c r="X21" s="72"/>
      <c r="Y21" s="171"/>
      <c r="Z21" s="75"/>
      <c r="AA21" s="252" t="s">
        <v>257</v>
      </c>
      <c r="AB21" s="77">
        <f>(AB17*9.807)*('Data Input'!J38/100)*SIN(AB9)</f>
        <v>0</v>
      </c>
      <c r="AC21" s="252" t="s">
        <v>254</v>
      </c>
      <c r="AD21" s="3">
        <f>(AD17*9.807)*('Data Input'!H28/100)*SIN(RADIANS(30))</f>
        <v>0</v>
      </c>
      <c r="AE21" s="75"/>
      <c r="AF21" s="75"/>
      <c r="AI21" s="12"/>
      <c r="AJ21" s="12"/>
    </row>
    <row r="22" spans="1:36">
      <c r="A22" s="74"/>
      <c r="H22" s="72"/>
      <c r="I22" s="74"/>
      <c r="P22" s="72"/>
      <c r="Q22" s="74"/>
      <c r="X22" s="72"/>
      <c r="Y22" s="171"/>
      <c r="Z22" s="75"/>
      <c r="AA22" s="252" t="s">
        <v>259</v>
      </c>
      <c r="AB22" s="77">
        <f>('Data Input'!J39/2.2)</f>
        <v>0</v>
      </c>
      <c r="AC22" s="252" t="s">
        <v>257</v>
      </c>
      <c r="AD22" s="3">
        <f>(AD18*9.807)*('Data Input'!H28/100)*SIN(RADIANS(30))</f>
        <v>0</v>
      </c>
      <c r="AE22" s="75"/>
      <c r="AF22" s="75"/>
      <c r="AI22" s="12"/>
      <c r="AJ22" s="12"/>
    </row>
    <row r="23" spans="1:36">
      <c r="A23" s="74"/>
      <c r="H23" s="72"/>
      <c r="I23" s="74"/>
      <c r="P23" s="72"/>
      <c r="Q23" s="74"/>
      <c r="X23" s="72"/>
      <c r="AC23" s="252" t="s">
        <v>259</v>
      </c>
      <c r="AD23" s="3">
        <f>'Data Input'!J28/2.2</f>
        <v>0</v>
      </c>
      <c r="AE23" s="75"/>
      <c r="AF23" s="75"/>
      <c r="AI23" s="12"/>
      <c r="AJ23" s="12"/>
    </row>
    <row r="24" spans="1:36">
      <c r="A24" s="74"/>
      <c r="H24" s="72"/>
      <c r="I24" s="74"/>
      <c r="P24" s="72"/>
      <c r="Q24" s="74"/>
      <c r="X24" s="72"/>
      <c r="AI24" s="12"/>
      <c r="AJ24" s="12"/>
    </row>
    <row r="25" spans="1:36">
      <c r="A25" s="74"/>
      <c r="H25" s="72"/>
      <c r="I25" s="74"/>
      <c r="P25" s="72"/>
      <c r="Q25" s="74"/>
      <c r="X25" s="72"/>
      <c r="AI25" s="12"/>
      <c r="AJ25" s="12"/>
    </row>
    <row r="26" spans="1:36">
      <c r="A26" s="686" t="s">
        <v>274</v>
      </c>
      <c r="B26" s="666"/>
      <c r="C26" s="666"/>
      <c r="D26" s="666"/>
      <c r="H26" s="72"/>
      <c r="I26" s="686" t="s">
        <v>275</v>
      </c>
      <c r="J26" s="666"/>
      <c r="K26" s="666"/>
      <c r="L26" s="666"/>
      <c r="P26" s="72"/>
      <c r="Q26" s="686" t="s">
        <v>276</v>
      </c>
      <c r="R26" s="666"/>
      <c r="S26" s="666"/>
      <c r="T26" s="666"/>
      <c r="X26" s="72"/>
      <c r="AI26" s="12"/>
      <c r="AJ26" s="12"/>
    </row>
    <row r="27" spans="1:36">
      <c r="A27" s="74"/>
      <c r="B27" s="9"/>
      <c r="C27" s="9" t="s">
        <v>246</v>
      </c>
      <c r="D27" s="9"/>
      <c r="H27" s="72"/>
      <c r="I27" s="74"/>
      <c r="J27" s="9"/>
      <c r="K27" s="9" t="s">
        <v>246</v>
      </c>
      <c r="L27" s="9"/>
      <c r="P27" s="72"/>
      <c r="Q27" s="74"/>
      <c r="R27" s="9"/>
      <c r="S27" s="9" t="s">
        <v>246</v>
      </c>
      <c r="T27" s="9"/>
      <c r="X27" s="72"/>
      <c r="AD27" s="8" t="s">
        <v>277</v>
      </c>
      <c r="AF27" s="8" t="s">
        <v>278</v>
      </c>
      <c r="AI27" s="12"/>
      <c r="AJ27" s="12"/>
    </row>
    <row r="28" spans="1:36">
      <c r="A28" s="74"/>
      <c r="B28" s="10">
        <f>IF('Data Input'!$H$41&gt;1,1,'Data Input'!$H$41)</f>
        <v>1</v>
      </c>
      <c r="C28">
        <v>0.03</v>
      </c>
      <c r="D28">
        <f>2-SUM(B28:C28)</f>
        <v>0.97</v>
      </c>
      <c r="H28" s="72"/>
      <c r="I28" s="74"/>
      <c r="J28" s="10">
        <f>IF('Data Input'!$H$16&gt;0.2,0.218,'Data Input'!$H$16/100)</f>
        <v>0.218</v>
      </c>
      <c r="K28" s="8">
        <v>7.0000000000000001E-3</v>
      </c>
      <c r="L28" s="78">
        <f>0.45-SUM(J28:K28)</f>
        <v>0.22500000000000001</v>
      </c>
      <c r="P28" s="72"/>
      <c r="Q28" s="74"/>
      <c r="R28" s="10">
        <f>IF('Data Input'!$J$26&gt;1,1,'Data Input'!$J$26)</f>
        <v>1</v>
      </c>
      <c r="S28">
        <v>0.03</v>
      </c>
      <c r="T28">
        <f>2-SUM(R28:S28)</f>
        <v>0.97</v>
      </c>
      <c r="X28" s="72"/>
      <c r="AA28" s="8" t="s">
        <v>279</v>
      </c>
      <c r="AC28" s="8" t="s">
        <v>280</v>
      </c>
      <c r="AD28" t="str">
        <f>'Data Input'!O15</f>
        <v>N/A</v>
      </c>
      <c r="AF28" t="str">
        <f>'Data Input'!M15</f>
        <v>N/A</v>
      </c>
      <c r="AI28" s="12"/>
      <c r="AJ28" s="12"/>
    </row>
    <row r="29" spans="1:36">
      <c r="A29" s="74"/>
      <c r="H29" s="72"/>
      <c r="I29" s="74"/>
      <c r="P29" s="72"/>
      <c r="Q29" s="74"/>
      <c r="X29" s="72"/>
      <c r="AA29" s="8" t="s">
        <v>281</v>
      </c>
      <c r="AD29">
        <v>100</v>
      </c>
      <c r="AF29">
        <v>100</v>
      </c>
      <c r="AI29" s="12"/>
      <c r="AJ29" s="12"/>
    </row>
    <row r="30" spans="1:36">
      <c r="A30" s="74"/>
      <c r="H30" s="72"/>
      <c r="I30" s="74"/>
      <c r="P30" s="72"/>
      <c r="Q30" s="74"/>
      <c r="X30" s="72"/>
      <c r="AA30" s="8" t="s">
        <v>282</v>
      </c>
      <c r="AC30" s="8" t="s">
        <v>283</v>
      </c>
      <c r="AD30" t="str">
        <f>'Data Input'!O30</f>
        <v>N/A</v>
      </c>
      <c r="AF30" t="str">
        <f>'Data Input'!M30</f>
        <v>N/A</v>
      </c>
      <c r="AI30" s="12"/>
      <c r="AJ30" s="12"/>
    </row>
    <row r="31" spans="1:36">
      <c r="A31" s="74"/>
      <c r="B31" s="10"/>
      <c r="H31" s="72"/>
      <c r="I31" s="74"/>
      <c r="J31" s="10"/>
      <c r="P31" s="72"/>
      <c r="Q31" s="74"/>
      <c r="R31" s="10"/>
      <c r="X31" s="72"/>
      <c r="AA31" s="8" t="s">
        <v>284</v>
      </c>
      <c r="AD31">
        <v>100</v>
      </c>
      <c r="AF31">
        <v>100</v>
      </c>
      <c r="AI31" s="12"/>
      <c r="AJ31" s="12"/>
    </row>
    <row r="32" spans="1:36">
      <c r="A32" s="74"/>
      <c r="H32" s="72"/>
      <c r="I32" s="74"/>
      <c r="P32" s="72"/>
      <c r="Q32" s="74"/>
      <c r="X32" s="72"/>
      <c r="AA32" s="8" t="s">
        <v>285</v>
      </c>
      <c r="AC32" s="8" t="s">
        <v>286</v>
      </c>
      <c r="AD32" t="str">
        <f>'Data Input'!O45</f>
        <v>N/A</v>
      </c>
      <c r="AF32" t="str">
        <f>'Data Input'!M45</f>
        <v>N/A</v>
      </c>
      <c r="AI32" s="12"/>
      <c r="AJ32" s="12"/>
    </row>
    <row r="33" spans="1:36">
      <c r="A33" s="74"/>
      <c r="H33" s="72"/>
      <c r="I33" s="74"/>
      <c r="P33" s="72"/>
      <c r="Q33" s="74"/>
      <c r="X33" s="72"/>
      <c r="AA33" s="8" t="s">
        <v>287</v>
      </c>
      <c r="AD33">
        <v>100</v>
      </c>
      <c r="AF33">
        <v>100</v>
      </c>
      <c r="AI33" s="12"/>
      <c r="AJ33" s="12"/>
    </row>
    <row r="34" spans="1:36">
      <c r="A34" s="74"/>
      <c r="H34" s="72"/>
      <c r="I34" s="74"/>
      <c r="P34" s="72"/>
      <c r="Q34" s="74"/>
      <c r="X34" s="72"/>
      <c r="AA34" s="8" t="s">
        <v>288</v>
      </c>
      <c r="AC34" s="8" t="s">
        <v>289</v>
      </c>
      <c r="AD34" t="str">
        <f>'Data Input'!O60</f>
        <v>N/A</v>
      </c>
      <c r="AF34" t="str">
        <f>'Data Input'!M60</f>
        <v>N/A</v>
      </c>
      <c r="AI34" s="12"/>
      <c r="AJ34" s="12"/>
    </row>
    <row r="35" spans="1:36">
      <c r="A35" s="74"/>
      <c r="H35" s="72"/>
      <c r="I35" s="74"/>
      <c r="P35" s="72"/>
      <c r="Q35" s="74"/>
      <c r="X35" s="72"/>
      <c r="AA35" s="8" t="s">
        <v>290</v>
      </c>
      <c r="AD35">
        <v>100</v>
      </c>
      <c r="AF35">
        <v>100</v>
      </c>
      <c r="AI35" s="12"/>
      <c r="AJ35" s="12"/>
    </row>
    <row r="36" spans="1:36">
      <c r="A36" s="686" t="s">
        <v>291</v>
      </c>
      <c r="B36" s="666"/>
      <c r="C36" s="666"/>
      <c r="D36" s="666"/>
      <c r="H36" s="72"/>
      <c r="I36" s="686" t="s">
        <v>292</v>
      </c>
      <c r="J36" s="666"/>
      <c r="K36" s="666"/>
      <c r="L36" s="666"/>
      <c r="P36" s="72"/>
      <c r="Q36" s="686" t="s">
        <v>240</v>
      </c>
      <c r="R36" s="666"/>
      <c r="S36" s="666"/>
      <c r="T36" s="666"/>
      <c r="X36" s="72"/>
      <c r="AA36" s="8" t="s">
        <v>293</v>
      </c>
      <c r="AI36" s="12"/>
      <c r="AJ36" s="12"/>
    </row>
    <row r="37" spans="1:36">
      <c r="A37" s="74"/>
      <c r="B37" s="9"/>
      <c r="C37" s="9" t="s">
        <v>246</v>
      </c>
      <c r="D37" s="9"/>
      <c r="H37" s="72"/>
      <c r="I37" s="74"/>
      <c r="J37" s="9"/>
      <c r="K37" s="9" t="s">
        <v>246</v>
      </c>
      <c r="L37" s="9"/>
      <c r="P37" s="72"/>
      <c r="Q37" s="74"/>
      <c r="R37" s="9"/>
      <c r="S37" s="9" t="s">
        <v>246</v>
      </c>
      <c r="T37" s="9"/>
      <c r="X37" s="72"/>
      <c r="AA37" s="8" t="s">
        <v>294</v>
      </c>
      <c r="AI37" s="12"/>
      <c r="AJ37" s="12"/>
    </row>
    <row r="38" spans="1:36">
      <c r="A38" s="74"/>
      <c r="B38" s="10">
        <f>IF('Data Input'!$I$41&gt;1,1,'Data Input'!$I$41)</f>
        <v>1</v>
      </c>
      <c r="C38">
        <v>0.03</v>
      </c>
      <c r="D38">
        <f>2-SUM(B38:C38)</f>
        <v>0.97</v>
      </c>
      <c r="H38" s="72"/>
      <c r="I38" s="74"/>
      <c r="J38" s="10">
        <f>IF('Data Input'!I16&gt;0.2,0.218,('Data Input'!$I$16/100))</f>
        <v>0.218</v>
      </c>
      <c r="K38" s="8">
        <v>7.0000000000000001E-3</v>
      </c>
      <c r="L38" s="79">
        <f>0.45-SUM(J38:K38)</f>
        <v>0.22500000000000001</v>
      </c>
      <c r="P38" s="72"/>
      <c r="Q38" s="74"/>
      <c r="R38" s="10">
        <f>IF('Data Input'!$J$24&gt;1,1,'Data Input'!$J$24)</f>
        <v>1</v>
      </c>
      <c r="S38">
        <v>0.03</v>
      </c>
      <c r="T38">
        <f>2-SUM(R38:S38)</f>
        <v>0.97</v>
      </c>
      <c r="X38" s="72"/>
      <c r="AA38" s="8" t="s">
        <v>295</v>
      </c>
      <c r="AI38" s="12"/>
      <c r="AJ38" s="12"/>
    </row>
    <row r="39" spans="1:36">
      <c r="A39" s="74"/>
      <c r="H39" s="72"/>
      <c r="I39" s="74"/>
      <c r="P39" s="72"/>
      <c r="Q39" s="74"/>
      <c r="X39" s="72"/>
      <c r="AI39" s="12"/>
      <c r="AJ39" s="12"/>
    </row>
    <row r="40" spans="1:36">
      <c r="A40" s="74"/>
      <c r="H40" s="72"/>
      <c r="I40" s="74"/>
      <c r="P40" s="72"/>
      <c r="Q40" s="74"/>
      <c r="X40" s="72"/>
      <c r="AA40" s="8" t="s">
        <v>296</v>
      </c>
      <c r="AI40" s="12"/>
      <c r="AJ40" s="12"/>
    </row>
    <row r="41" spans="1:36">
      <c r="A41" s="74"/>
      <c r="H41" s="72"/>
      <c r="I41" s="74"/>
      <c r="P41" s="72"/>
      <c r="Q41" s="74"/>
      <c r="X41" s="72"/>
      <c r="AA41" s="8" t="s">
        <v>297</v>
      </c>
      <c r="AI41" s="12"/>
      <c r="AJ41" s="12"/>
    </row>
    <row r="42" spans="1:36">
      <c r="A42" s="74"/>
      <c r="H42" s="72"/>
      <c r="I42" s="74"/>
      <c r="P42" s="72"/>
      <c r="Q42" s="74"/>
      <c r="X42" s="72"/>
      <c r="AA42" s="8" t="s">
        <v>298</v>
      </c>
      <c r="AI42" s="12"/>
      <c r="AJ42" s="12"/>
    </row>
    <row r="43" spans="1:36">
      <c r="A43" s="74"/>
      <c r="H43" s="72"/>
      <c r="I43" s="74"/>
      <c r="P43" s="72"/>
      <c r="Q43" s="74"/>
      <c r="X43" s="72"/>
      <c r="AA43" s="8" t="s">
        <v>299</v>
      </c>
      <c r="AI43" s="12"/>
      <c r="AJ43" s="12"/>
    </row>
    <row r="44" spans="1:36">
      <c r="A44" s="74"/>
      <c r="H44" s="72"/>
      <c r="I44" s="74"/>
      <c r="P44" s="72"/>
      <c r="Q44" s="74"/>
      <c r="X44" s="72"/>
      <c r="AA44" s="8" t="s">
        <v>300</v>
      </c>
      <c r="AI44" s="12"/>
      <c r="AJ44" s="12"/>
    </row>
    <row r="45" spans="1:36">
      <c r="A45" s="686" t="s">
        <v>301</v>
      </c>
      <c r="B45" s="666"/>
      <c r="C45" s="666"/>
      <c r="D45" s="666"/>
      <c r="H45" s="72"/>
      <c r="I45" s="686" t="s">
        <v>302</v>
      </c>
      <c r="J45" s="666"/>
      <c r="K45" s="666"/>
      <c r="L45" s="666"/>
      <c r="P45" s="72"/>
      <c r="Q45" s="686" t="s">
        <v>303</v>
      </c>
      <c r="R45" s="666"/>
      <c r="S45" s="666"/>
      <c r="T45" s="666"/>
      <c r="X45" s="72"/>
      <c r="AA45" s="8" t="s">
        <v>304</v>
      </c>
      <c r="AI45" s="12"/>
      <c r="AJ45" s="12"/>
    </row>
    <row r="46" spans="1:36">
      <c r="A46" s="74"/>
      <c r="B46" s="9"/>
      <c r="C46" s="9" t="s">
        <v>246</v>
      </c>
      <c r="D46" s="9"/>
      <c r="H46" s="72"/>
      <c r="I46" s="74"/>
      <c r="J46" s="9"/>
      <c r="K46" s="9" t="s">
        <v>246</v>
      </c>
      <c r="L46" s="9"/>
      <c r="P46" s="72"/>
      <c r="Q46" s="74"/>
      <c r="R46" s="9"/>
      <c r="S46" s="9" t="s">
        <v>246</v>
      </c>
      <c r="T46" s="9"/>
      <c r="X46" s="72"/>
      <c r="AA46" s="8" t="s">
        <v>305</v>
      </c>
      <c r="AI46" s="12"/>
      <c r="AJ46" s="12"/>
    </row>
    <row r="47" spans="1:36">
      <c r="A47" s="74"/>
      <c r="B47" s="10">
        <f>IF('Data Input'!$H$42&gt;0.4,0.4,'Data Input'!$H$42)</f>
        <v>0.4</v>
      </c>
      <c r="C47">
        <v>0.03</v>
      </c>
      <c r="D47" s="178">
        <f>0.85-SUM(B47:C47)</f>
        <v>0.41999999999999993</v>
      </c>
      <c r="H47" s="72"/>
      <c r="I47" s="74"/>
      <c r="J47" s="10">
        <f>IF('Data Input'!$H$15&gt;=75,1,('Data Input'!$H$15/100))</f>
        <v>1</v>
      </c>
      <c r="K47">
        <v>0.03</v>
      </c>
      <c r="L47">
        <f>2-SUM(J47:K47)</f>
        <v>0.97</v>
      </c>
      <c r="P47" s="72"/>
      <c r="Q47" s="74"/>
      <c r="R47" s="10">
        <f>IF('Data Input'!$H$27&gt;80,1,('Data Input'!$H$27/100))</f>
        <v>0</v>
      </c>
      <c r="S47">
        <v>0.03</v>
      </c>
      <c r="T47">
        <f>2-SUM(R47:S47)</f>
        <v>1.97</v>
      </c>
      <c r="X47" s="72"/>
      <c r="AA47" s="8" t="s">
        <v>306</v>
      </c>
      <c r="AI47" s="12"/>
      <c r="AJ47" s="12"/>
    </row>
    <row r="48" spans="1:36">
      <c r="A48" s="74"/>
      <c r="H48" s="72"/>
      <c r="I48" s="74"/>
      <c r="P48" s="72"/>
      <c r="Q48" s="74"/>
      <c r="X48" s="72"/>
      <c r="AA48" s="8" t="s">
        <v>307</v>
      </c>
      <c r="AI48" s="12"/>
      <c r="AJ48" s="12"/>
    </row>
    <row r="49" spans="1:36">
      <c r="A49" s="74"/>
      <c r="H49" s="72"/>
      <c r="I49" s="74"/>
      <c r="P49" s="72"/>
      <c r="Q49" s="74"/>
      <c r="X49" s="72"/>
      <c r="AI49" s="12"/>
      <c r="AJ49" s="12"/>
    </row>
    <row r="50" spans="1:36">
      <c r="A50" s="74"/>
      <c r="B50" s="10"/>
      <c r="H50" s="72"/>
      <c r="I50" s="74"/>
      <c r="J50" s="10"/>
      <c r="P50" s="72"/>
      <c r="Q50" s="74"/>
      <c r="R50" s="10"/>
      <c r="X50" s="72"/>
      <c r="AA50" s="8" t="s">
        <v>308</v>
      </c>
      <c r="AI50" s="12"/>
      <c r="AJ50" s="12"/>
    </row>
    <row r="51" spans="1:36">
      <c r="A51" s="74"/>
      <c r="H51" s="72"/>
      <c r="I51" s="74"/>
      <c r="P51" s="72"/>
      <c r="Q51" s="74"/>
      <c r="X51" s="72"/>
      <c r="AA51" s="8" t="s">
        <v>309</v>
      </c>
      <c r="AI51" s="12"/>
      <c r="AJ51" s="12"/>
    </row>
    <row r="52" spans="1:36">
      <c r="A52" s="74"/>
      <c r="H52" s="72"/>
      <c r="I52" s="74"/>
      <c r="P52" s="72"/>
      <c r="Q52" s="74"/>
      <c r="X52" s="72"/>
      <c r="AA52" s="8" t="s">
        <v>310</v>
      </c>
      <c r="AI52" s="12"/>
      <c r="AJ52" s="12"/>
    </row>
    <row r="53" spans="1:36">
      <c r="A53" s="74"/>
      <c r="H53" s="72"/>
      <c r="I53" s="74"/>
      <c r="P53" s="72"/>
      <c r="Q53" s="74"/>
      <c r="X53" s="72"/>
      <c r="AA53" s="8" t="s">
        <v>311</v>
      </c>
      <c r="AI53" s="12"/>
      <c r="AJ53" s="12"/>
    </row>
    <row r="54" spans="1:36">
      <c r="A54" s="74"/>
      <c r="H54" s="72"/>
      <c r="I54" s="74"/>
      <c r="P54" s="72"/>
      <c r="Q54" s="74"/>
      <c r="X54" s="72"/>
      <c r="AA54" s="8" t="s">
        <v>312</v>
      </c>
      <c r="AI54" s="12"/>
      <c r="AJ54" s="12"/>
    </row>
    <row r="55" spans="1:36">
      <c r="A55" s="686" t="s">
        <v>313</v>
      </c>
      <c r="B55" s="666"/>
      <c r="C55" s="666"/>
      <c r="D55" s="666"/>
      <c r="H55" s="72"/>
      <c r="I55" s="686" t="s">
        <v>314</v>
      </c>
      <c r="J55" s="666"/>
      <c r="K55" s="666"/>
      <c r="L55" s="666"/>
      <c r="P55" s="72"/>
      <c r="Q55" s="686" t="s">
        <v>315</v>
      </c>
      <c r="R55" s="666"/>
      <c r="S55" s="666"/>
      <c r="T55" s="666"/>
      <c r="X55" s="72"/>
      <c r="AA55" s="8" t="s">
        <v>316</v>
      </c>
      <c r="AI55" s="12"/>
      <c r="AJ55" s="12"/>
    </row>
    <row r="56" spans="1:36">
      <c r="A56" s="74"/>
      <c r="B56" s="9"/>
      <c r="C56" s="9" t="s">
        <v>246</v>
      </c>
      <c r="D56" s="9"/>
      <c r="H56" s="72"/>
      <c r="I56" s="74"/>
      <c r="J56" s="9"/>
      <c r="K56" s="9" t="s">
        <v>246</v>
      </c>
      <c r="L56" s="9"/>
      <c r="P56" s="72"/>
      <c r="Q56" s="74"/>
      <c r="R56" s="9"/>
      <c r="S56" s="9" t="s">
        <v>246</v>
      </c>
      <c r="T56" s="9"/>
      <c r="X56" s="72"/>
      <c r="AI56" s="12"/>
      <c r="AJ56" s="12"/>
    </row>
    <row r="57" spans="1:36">
      <c r="A57" s="74"/>
      <c r="B57" s="10">
        <f>IF('Data Input'!$I$42&gt;0.4,0.4,'Data Input'!$I$42)</f>
        <v>0.4</v>
      </c>
      <c r="C57">
        <v>0.03</v>
      </c>
      <c r="D57" s="10">
        <f>0.85-SUM(B57:C57)</f>
        <v>0.41999999999999993</v>
      </c>
      <c r="H57" s="72"/>
      <c r="I57" s="74"/>
      <c r="J57" s="10">
        <f>IF('Data Input'!$I$15&gt;=75,1,('Data Input'!$I$15/100))</f>
        <v>1</v>
      </c>
      <c r="K57">
        <v>0.03</v>
      </c>
      <c r="L57" s="78">
        <f>2-SUM(J57:K57)</f>
        <v>0.97</v>
      </c>
      <c r="P57" s="72"/>
      <c r="Q57" s="74"/>
      <c r="R57" s="10">
        <f>IF('Data Input'!$I$27&gt;=80,1,('Data Input'!$I$27/100))</f>
        <v>0</v>
      </c>
      <c r="S57">
        <v>0.03</v>
      </c>
      <c r="T57">
        <f>2-SUM(R57:S57)</f>
        <v>1.97</v>
      </c>
      <c r="X57" s="72"/>
      <c r="AI57" s="12"/>
      <c r="AJ57" s="12"/>
    </row>
    <row r="58" spans="1:36">
      <c r="A58" s="74"/>
      <c r="H58" s="72"/>
      <c r="I58" s="74"/>
      <c r="P58" s="72"/>
      <c r="Q58" s="74"/>
      <c r="X58" s="72"/>
      <c r="AI58" s="12"/>
      <c r="AJ58" s="12"/>
    </row>
    <row r="59" spans="1:36">
      <c r="A59" s="74"/>
      <c r="H59" s="72"/>
      <c r="I59" s="74"/>
      <c r="P59" s="72"/>
      <c r="Q59" s="74"/>
      <c r="X59" s="72"/>
      <c r="AI59" s="12"/>
      <c r="AJ59" s="12"/>
    </row>
    <row r="60" spans="1:36">
      <c r="A60" s="74"/>
      <c r="H60" s="72"/>
      <c r="I60" s="74"/>
      <c r="P60" s="72"/>
      <c r="Q60" s="74"/>
      <c r="X60" s="72"/>
      <c r="AI60" s="12"/>
      <c r="AJ60" s="12"/>
    </row>
    <row r="61" spans="1:36">
      <c r="A61" s="74"/>
      <c r="H61" s="72"/>
      <c r="I61" s="74"/>
      <c r="P61" s="72"/>
      <c r="Q61" s="74"/>
      <c r="X61" s="72"/>
      <c r="AI61" s="12"/>
      <c r="AJ61" s="12"/>
    </row>
    <row r="62" spans="1:36">
      <c r="A62" s="74"/>
      <c r="H62" s="72"/>
      <c r="I62" s="74"/>
      <c r="P62" s="72"/>
      <c r="Q62" s="74"/>
      <c r="X62" s="72"/>
      <c r="AI62" s="12"/>
      <c r="AJ62" s="12"/>
    </row>
    <row r="63" spans="1:36" ht="13.5" thickBot="1">
      <c r="A63" s="80"/>
      <c r="B63" s="81"/>
      <c r="C63" s="81"/>
      <c r="D63" s="81"/>
      <c r="E63" s="81"/>
      <c r="F63" s="81"/>
      <c r="G63" s="81"/>
      <c r="H63" s="82"/>
      <c r="I63" s="80"/>
      <c r="J63" s="81"/>
      <c r="K63" s="81"/>
      <c r="L63" s="81"/>
      <c r="M63" s="81"/>
      <c r="N63" s="81"/>
      <c r="O63" s="81"/>
      <c r="P63" s="82"/>
      <c r="Q63" s="80"/>
      <c r="R63" s="81"/>
      <c r="S63" s="81"/>
      <c r="T63" s="81"/>
      <c r="U63" s="81"/>
      <c r="V63" s="81"/>
      <c r="W63" s="81"/>
      <c r="X63" s="82"/>
      <c r="AI63" s="12"/>
      <c r="AJ63" s="12"/>
    </row>
    <row r="64" spans="1:36">
      <c r="A64" s="683" t="s">
        <v>233</v>
      </c>
      <c r="B64" s="684"/>
      <c r="C64" s="684"/>
      <c r="D64" s="684"/>
      <c r="E64" s="684"/>
      <c r="F64" s="684"/>
      <c r="G64" s="684"/>
      <c r="H64" s="685"/>
      <c r="AI64" s="12"/>
      <c r="AJ64" s="12"/>
    </row>
    <row r="65" spans="1:36">
      <c r="A65" s="692" t="s">
        <v>238</v>
      </c>
      <c r="B65" s="693"/>
      <c r="C65" s="693"/>
      <c r="D65" s="693"/>
      <c r="E65" s="693"/>
      <c r="F65" s="693"/>
      <c r="G65" s="693"/>
      <c r="H65" s="694"/>
      <c r="AI65" s="12"/>
      <c r="AJ65" s="12"/>
    </row>
    <row r="66" spans="1:36">
      <c r="A66" s="686" t="s">
        <v>317</v>
      </c>
      <c r="B66" s="666"/>
      <c r="C66" s="666"/>
      <c r="D66" s="666"/>
      <c r="H66" s="72"/>
      <c r="AI66" s="12"/>
      <c r="AJ66" s="12"/>
    </row>
    <row r="67" spans="1:36">
      <c r="A67" s="74"/>
      <c r="C67" t="s">
        <v>246</v>
      </c>
      <c r="H67" s="72"/>
      <c r="AI67" s="12"/>
      <c r="AJ67" s="12"/>
    </row>
    <row r="68" spans="1:36">
      <c r="A68" s="74"/>
      <c r="B68" s="10">
        <f>IF('Data Input'!$J$47&gt;1,1, 'Data Input'!$J$47)</f>
        <v>1</v>
      </c>
      <c r="C68">
        <v>0.03</v>
      </c>
      <c r="D68">
        <f>2-SUM(B68:C68)</f>
        <v>0.97</v>
      </c>
      <c r="H68" s="72"/>
      <c r="AI68" s="12"/>
      <c r="AJ68" s="12"/>
    </row>
    <row r="69" spans="1:36">
      <c r="A69" s="74"/>
      <c r="H69" s="72"/>
      <c r="AI69" s="12"/>
      <c r="AJ69" s="12"/>
    </row>
    <row r="70" spans="1:36">
      <c r="A70" s="74"/>
      <c r="H70" s="72"/>
      <c r="AI70" s="12"/>
      <c r="AJ70" s="12"/>
    </row>
    <row r="71" spans="1:36">
      <c r="A71" s="74"/>
      <c r="H71" s="72"/>
      <c r="AI71" s="12"/>
      <c r="AJ71" s="12"/>
    </row>
    <row r="72" spans="1:36">
      <c r="A72" s="74"/>
      <c r="H72" s="72"/>
      <c r="AI72" s="12"/>
      <c r="AJ72" s="12"/>
    </row>
    <row r="73" spans="1:36">
      <c r="A73" s="74"/>
      <c r="H73" s="72"/>
      <c r="AI73" s="12"/>
      <c r="AJ73" s="12"/>
    </row>
    <row r="74" spans="1:36">
      <c r="A74" s="686" t="s">
        <v>318</v>
      </c>
      <c r="B74" s="666"/>
      <c r="C74" s="666"/>
      <c r="D74" s="666"/>
      <c r="H74" s="72"/>
      <c r="AI74" s="12"/>
      <c r="AJ74" s="12"/>
    </row>
    <row r="75" spans="1:36">
      <c r="A75" s="74"/>
      <c r="B75" s="9"/>
      <c r="C75" s="9" t="s">
        <v>246</v>
      </c>
      <c r="D75" s="9"/>
      <c r="H75" s="72"/>
      <c r="AI75" s="12"/>
      <c r="AJ75" s="12"/>
    </row>
    <row r="76" spans="1:36">
      <c r="A76" s="74"/>
      <c r="B76" s="10">
        <f>IF('Data Input'!$J$50&gt;1,1,'Data Input'!$J$50)</f>
        <v>1</v>
      </c>
      <c r="C76">
        <v>0.03</v>
      </c>
      <c r="D76">
        <f>2-SUM(B76:C76)</f>
        <v>0.97</v>
      </c>
      <c r="H76" s="72"/>
      <c r="AI76" s="12"/>
      <c r="AJ76" s="12"/>
    </row>
    <row r="77" spans="1:36">
      <c r="A77" s="74"/>
      <c r="H77" s="72"/>
      <c r="AI77" s="12"/>
      <c r="AJ77" s="12"/>
    </row>
    <row r="78" spans="1:36">
      <c r="A78" s="74"/>
      <c r="H78" s="72"/>
      <c r="AI78" s="12"/>
      <c r="AJ78" s="12"/>
    </row>
    <row r="79" spans="1:36">
      <c r="A79" s="74"/>
      <c r="B79" s="10"/>
      <c r="H79" s="72"/>
      <c r="AI79" s="12"/>
      <c r="AJ79" s="12"/>
    </row>
    <row r="80" spans="1:36">
      <c r="A80" s="74"/>
      <c r="H80" s="72"/>
      <c r="AI80" s="12"/>
      <c r="AJ80" s="12"/>
    </row>
    <row r="81" spans="1:36">
      <c r="A81" s="74"/>
      <c r="H81" s="72"/>
      <c r="AI81" s="12"/>
      <c r="AJ81" s="12"/>
    </row>
    <row r="82" spans="1:36">
      <c r="A82" s="74"/>
      <c r="H82" s="72"/>
      <c r="AI82" s="12"/>
      <c r="AJ82" s="12"/>
    </row>
    <row r="83" spans="1:36">
      <c r="A83" s="74"/>
      <c r="H83" s="72"/>
      <c r="AI83" s="12"/>
      <c r="AJ83" s="12"/>
    </row>
    <row r="84" spans="1:36">
      <c r="A84" s="14"/>
      <c r="B84" s="12"/>
      <c r="C84" s="12"/>
      <c r="D84" s="12"/>
      <c r="E84" s="12"/>
      <c r="F84" s="12"/>
      <c r="G84" s="12"/>
      <c r="H84" s="13"/>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row>
    <row r="85" spans="1:36">
      <c r="A85" s="690" t="s">
        <v>319</v>
      </c>
      <c r="B85" s="691"/>
      <c r="C85" s="691"/>
      <c r="D85" s="691"/>
      <c r="E85" s="12"/>
      <c r="F85" s="12"/>
      <c r="G85" s="12"/>
      <c r="H85" s="13"/>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row>
    <row r="86" spans="1:36">
      <c r="A86" s="14"/>
      <c r="B86" s="16"/>
      <c r="C86" s="16" t="s">
        <v>246</v>
      </c>
      <c r="D86" s="16"/>
      <c r="E86" s="12"/>
      <c r="F86" s="12"/>
      <c r="G86" s="12"/>
      <c r="H86" s="13"/>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row>
    <row r="87" spans="1:36">
      <c r="A87" s="14"/>
      <c r="B87" s="15">
        <f>IF('Data Input'!$J$51&gt;1,1,'Data Input'!$J$51)</f>
        <v>1</v>
      </c>
      <c r="C87" s="12">
        <v>0.03</v>
      </c>
      <c r="D87" s="12">
        <f>2-SUM(B87:C87)</f>
        <v>0.97</v>
      </c>
      <c r="E87" s="12"/>
      <c r="F87" s="12"/>
      <c r="G87" s="12"/>
      <c r="H87" s="13"/>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row>
    <row r="88" spans="1:36">
      <c r="A88" s="14"/>
      <c r="B88" s="12"/>
      <c r="C88" s="12"/>
      <c r="D88" s="12"/>
      <c r="E88" s="12"/>
      <c r="F88" s="12"/>
      <c r="G88" s="12"/>
      <c r="H88" s="13"/>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row>
    <row r="89" spans="1:36">
      <c r="A89" s="14"/>
      <c r="B89" s="12"/>
      <c r="C89" s="12"/>
      <c r="D89" s="12"/>
      <c r="E89" s="12"/>
      <c r="F89" s="12"/>
      <c r="G89" s="12"/>
      <c r="H89" s="13"/>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row>
    <row r="90" spans="1:36">
      <c r="A90" s="14"/>
      <c r="B90" s="15"/>
      <c r="C90" s="12"/>
      <c r="D90" s="12"/>
      <c r="E90" s="12"/>
      <c r="F90" s="12"/>
      <c r="G90" s="12"/>
      <c r="H90" s="13"/>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row>
    <row r="91" spans="1:36">
      <c r="A91" s="14"/>
      <c r="B91" s="12"/>
      <c r="C91" s="12"/>
      <c r="D91" s="12"/>
      <c r="E91" s="12"/>
      <c r="F91" s="12"/>
      <c r="G91" s="12"/>
      <c r="H91" s="13"/>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row>
    <row r="92" spans="1:36">
      <c r="A92" s="14"/>
      <c r="B92" s="12"/>
      <c r="C92" s="12"/>
      <c r="D92" s="12"/>
      <c r="E92" s="12"/>
      <c r="F92" s="12"/>
      <c r="G92" s="12"/>
      <c r="H92" s="13"/>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row>
    <row r="93" spans="1:36">
      <c r="A93" s="14"/>
      <c r="B93" s="12"/>
      <c r="C93" s="12"/>
      <c r="D93" s="12"/>
      <c r="E93" s="12"/>
      <c r="F93" s="12"/>
      <c r="G93" s="12"/>
      <c r="H93" s="13"/>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row>
    <row r="94" spans="1:36">
      <c r="A94" s="14"/>
      <c r="B94" s="12"/>
      <c r="C94" s="12"/>
      <c r="D94" s="12"/>
      <c r="E94" s="12"/>
      <c r="F94" s="12"/>
      <c r="G94" s="12"/>
      <c r="H94" s="13"/>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row>
    <row r="95" spans="1:36">
      <c r="A95" s="690" t="s">
        <v>320</v>
      </c>
      <c r="B95" s="691"/>
      <c r="C95" s="691"/>
      <c r="D95" s="691"/>
      <c r="E95" s="12"/>
      <c r="F95" s="12"/>
      <c r="G95" s="12"/>
      <c r="H95" s="13"/>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row>
    <row r="96" spans="1:36">
      <c r="A96" s="14"/>
      <c r="B96" s="16"/>
      <c r="C96" s="16" t="s">
        <v>246</v>
      </c>
      <c r="D96" s="16"/>
      <c r="E96" s="12"/>
      <c r="F96" s="12"/>
      <c r="G96" s="12"/>
      <c r="H96" s="13"/>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row>
    <row r="97" spans="1:36">
      <c r="A97" s="14"/>
      <c r="B97" s="15">
        <f>IF('Data Input'!$J$52&gt;1,1,'Data Input'!$J$52)</f>
        <v>1</v>
      </c>
      <c r="C97" s="12">
        <v>0.03</v>
      </c>
      <c r="D97" s="12">
        <f>2-SUM(B97:C97)</f>
        <v>0.97</v>
      </c>
      <c r="E97" s="12"/>
      <c r="F97" s="12"/>
      <c r="G97" s="12"/>
      <c r="H97" s="13"/>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row>
    <row r="98" spans="1:36">
      <c r="A98" s="14"/>
      <c r="B98" s="12"/>
      <c r="C98" s="12"/>
      <c r="D98" s="12"/>
      <c r="E98" s="12"/>
      <c r="F98" s="12"/>
      <c r="G98" s="12"/>
      <c r="H98" s="13"/>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row>
    <row r="99" spans="1:36">
      <c r="A99" s="14"/>
      <c r="B99" s="12"/>
      <c r="C99" s="12"/>
      <c r="D99" s="12"/>
      <c r="E99" s="12"/>
      <c r="F99" s="12"/>
      <c r="G99" s="12"/>
      <c r="H99" s="13"/>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row>
    <row r="100" spans="1:36">
      <c r="A100" s="14"/>
      <c r="B100" s="12"/>
      <c r="C100" s="12"/>
      <c r="D100" s="12"/>
      <c r="E100" s="12"/>
      <c r="F100" s="12"/>
      <c r="G100" s="12"/>
      <c r="H100" s="13"/>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row>
    <row r="101" spans="1:36">
      <c r="A101" s="14"/>
      <c r="B101" s="12"/>
      <c r="C101" s="12"/>
      <c r="D101" s="12"/>
      <c r="E101" s="12"/>
      <c r="F101" s="12"/>
      <c r="G101" s="12"/>
      <c r="H101" s="13"/>
      <c r="I101" s="12"/>
      <c r="J101" s="12"/>
      <c r="K101" s="12"/>
      <c r="L101" s="12"/>
      <c r="M101" s="12"/>
      <c r="N101" s="12"/>
      <c r="O101" s="12"/>
      <c r="P101" s="12"/>
      <c r="Q101" s="12"/>
      <c r="R101" s="12"/>
      <c r="S101" s="12"/>
      <c r="T101" s="12"/>
      <c r="U101" s="12"/>
      <c r="V101" s="12"/>
      <c r="W101" s="12"/>
      <c r="X101" s="12"/>
      <c r="Y101" s="12"/>
      <c r="Z101" s="12"/>
      <c r="AA101" s="12"/>
      <c r="AB101" s="12"/>
      <c r="AC101" s="12"/>
      <c r="AD101" s="12"/>
      <c r="AE101" s="12"/>
      <c r="AF101" s="12"/>
      <c r="AG101" s="12"/>
      <c r="AH101" s="12"/>
      <c r="AI101" s="12"/>
      <c r="AJ101" s="12"/>
    </row>
    <row r="102" spans="1:36">
      <c r="A102" s="14"/>
      <c r="B102" s="12"/>
      <c r="C102" s="12"/>
      <c r="D102" s="12"/>
      <c r="E102" s="12"/>
      <c r="F102" s="12"/>
      <c r="G102" s="12"/>
      <c r="H102" s="13"/>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row>
    <row r="103" spans="1:36">
      <c r="A103" s="14"/>
      <c r="B103" s="12"/>
      <c r="C103" s="12"/>
      <c r="D103" s="12"/>
      <c r="E103" s="12"/>
      <c r="F103" s="12"/>
      <c r="G103" s="12"/>
      <c r="H103" s="13"/>
      <c r="I103" s="12"/>
      <c r="J103" s="12"/>
      <c r="K103" s="12"/>
      <c r="L103" s="12"/>
      <c r="M103" s="12"/>
      <c r="N103" s="12"/>
      <c r="O103" s="12"/>
      <c r="P103" s="12"/>
      <c r="Q103" s="12"/>
      <c r="R103" s="12"/>
      <c r="S103" s="12"/>
      <c r="T103" s="12"/>
      <c r="U103" s="12"/>
      <c r="V103" s="12"/>
      <c r="W103" s="12"/>
      <c r="X103" s="12"/>
      <c r="Y103" s="12"/>
      <c r="Z103" s="12"/>
      <c r="AA103" s="12"/>
      <c r="AB103" s="12"/>
      <c r="AC103" s="12"/>
      <c r="AD103" s="12"/>
      <c r="AE103" s="12"/>
      <c r="AF103" s="12"/>
      <c r="AG103" s="12"/>
      <c r="AH103" s="12"/>
      <c r="AI103" s="12"/>
      <c r="AJ103" s="12"/>
    </row>
    <row r="104" spans="1:36">
      <c r="A104" s="690" t="s">
        <v>321</v>
      </c>
      <c r="B104" s="691"/>
      <c r="C104" s="691"/>
      <c r="D104" s="691"/>
      <c r="E104" s="12"/>
      <c r="F104" s="12"/>
      <c r="G104" s="12"/>
      <c r="H104" s="13"/>
      <c r="I104" s="12"/>
      <c r="J104" s="12"/>
      <c r="K104" s="12"/>
      <c r="L104" s="12"/>
      <c r="M104" s="12"/>
      <c r="N104" s="12"/>
      <c r="O104" s="12"/>
      <c r="P104" s="12"/>
      <c r="Q104" s="12"/>
      <c r="R104" s="12"/>
      <c r="S104" s="12"/>
      <c r="T104" s="12"/>
      <c r="U104" s="12"/>
      <c r="V104" s="12"/>
      <c r="W104" s="12"/>
      <c r="X104" s="12"/>
      <c r="Y104" s="12"/>
      <c r="Z104" s="12"/>
      <c r="AA104" s="12"/>
      <c r="AB104" s="12"/>
      <c r="AC104" s="12"/>
      <c r="AD104" s="12"/>
      <c r="AE104" s="12"/>
      <c r="AF104" s="12"/>
      <c r="AG104" s="12"/>
      <c r="AH104" s="12"/>
      <c r="AI104" s="12"/>
      <c r="AJ104" s="12"/>
    </row>
    <row r="105" spans="1:36">
      <c r="A105" s="14"/>
      <c r="B105" s="16"/>
      <c r="C105" s="16" t="s">
        <v>246</v>
      </c>
      <c r="D105" s="16"/>
      <c r="E105" s="12"/>
      <c r="F105" s="12"/>
      <c r="G105" s="12"/>
      <c r="H105" s="13"/>
      <c r="I105" s="12"/>
      <c r="J105" s="12"/>
      <c r="K105" s="12"/>
      <c r="L105" s="12"/>
      <c r="M105" s="12"/>
      <c r="N105" s="12"/>
      <c r="O105" s="12"/>
      <c r="P105" s="12"/>
      <c r="Q105" s="12"/>
      <c r="R105" s="12"/>
      <c r="S105" s="12"/>
      <c r="T105" s="12"/>
      <c r="U105" s="12"/>
      <c r="V105" s="12"/>
      <c r="W105" s="12"/>
      <c r="X105" s="12"/>
      <c r="Y105" s="12"/>
      <c r="Z105" s="12"/>
      <c r="AA105" s="12"/>
      <c r="AB105" s="12"/>
      <c r="AC105" s="12"/>
      <c r="AD105" s="12"/>
      <c r="AE105" s="12"/>
      <c r="AF105" s="12"/>
      <c r="AG105" s="12"/>
      <c r="AH105" s="12"/>
      <c r="AI105" s="12"/>
      <c r="AJ105" s="12"/>
    </row>
    <row r="106" spans="1:36">
      <c r="A106" s="14"/>
      <c r="B106" s="15">
        <f>IF('Data Input'!$J$48&gt;1,1,'Data Input'!$J$48)</f>
        <v>1</v>
      </c>
      <c r="C106" s="12">
        <v>0.03</v>
      </c>
      <c r="D106" s="12">
        <f>2-SUM(B106:C106)</f>
        <v>0.97</v>
      </c>
      <c r="E106" s="12"/>
      <c r="F106" s="12"/>
      <c r="G106" s="12"/>
      <c r="H106" s="13"/>
      <c r="I106" s="12"/>
      <c r="J106" s="12"/>
      <c r="K106" s="12"/>
      <c r="L106" s="12"/>
      <c r="M106" s="12"/>
      <c r="N106" s="12"/>
      <c r="O106" s="12"/>
      <c r="P106" s="12"/>
      <c r="Q106" s="12"/>
      <c r="R106" s="12"/>
      <c r="S106" s="12"/>
      <c r="T106" s="12"/>
      <c r="U106" s="12"/>
      <c r="V106" s="12"/>
      <c r="W106" s="12"/>
      <c r="X106" s="12"/>
      <c r="Y106" s="12"/>
      <c r="Z106" s="12"/>
      <c r="AA106" s="12"/>
      <c r="AB106" s="12"/>
      <c r="AC106" s="12"/>
      <c r="AD106" s="12"/>
      <c r="AE106" s="12"/>
      <c r="AF106" s="12"/>
      <c r="AG106" s="12"/>
      <c r="AH106" s="12"/>
      <c r="AI106" s="12"/>
      <c r="AJ106" s="12"/>
    </row>
    <row r="107" spans="1:36">
      <c r="A107" s="14"/>
      <c r="B107" s="12"/>
      <c r="C107" s="12"/>
      <c r="D107" s="12"/>
      <c r="E107" s="12"/>
      <c r="F107" s="12"/>
      <c r="G107" s="12"/>
      <c r="H107" s="13"/>
      <c r="I107" s="12"/>
      <c r="J107" s="12"/>
      <c r="K107" s="12"/>
      <c r="L107" s="12"/>
      <c r="M107" s="12"/>
      <c r="N107" s="12"/>
      <c r="O107" s="12"/>
      <c r="P107" s="12"/>
      <c r="Q107" s="12"/>
      <c r="R107" s="12"/>
      <c r="S107" s="12"/>
      <c r="T107" s="12"/>
      <c r="U107" s="12"/>
      <c r="V107" s="12"/>
      <c r="W107" s="12"/>
      <c r="X107" s="12"/>
      <c r="Y107" s="12"/>
      <c r="Z107" s="12"/>
      <c r="AA107" s="12"/>
      <c r="AB107" s="12"/>
      <c r="AC107" s="12"/>
      <c r="AD107" s="12"/>
      <c r="AE107" s="12"/>
      <c r="AF107" s="12"/>
      <c r="AG107" s="12"/>
      <c r="AH107" s="12"/>
      <c r="AI107" s="12"/>
      <c r="AJ107" s="12"/>
    </row>
    <row r="108" spans="1:36">
      <c r="A108" s="14"/>
      <c r="B108" s="12"/>
      <c r="C108" s="12"/>
      <c r="D108" s="12"/>
      <c r="E108" s="12"/>
      <c r="F108" s="12"/>
      <c r="G108" s="12"/>
      <c r="H108" s="13"/>
      <c r="I108" s="12"/>
      <c r="J108" s="12"/>
      <c r="K108" s="12"/>
      <c r="L108" s="12"/>
      <c r="M108" s="12"/>
      <c r="N108" s="12"/>
      <c r="O108" s="12"/>
      <c r="P108" s="12"/>
      <c r="Q108" s="12"/>
      <c r="R108" s="12"/>
      <c r="S108" s="12"/>
      <c r="T108" s="12"/>
      <c r="U108" s="12"/>
      <c r="V108" s="12"/>
      <c r="W108" s="12"/>
      <c r="X108" s="12"/>
      <c r="Y108" s="12"/>
      <c r="Z108" s="12"/>
      <c r="AA108" s="12"/>
      <c r="AB108" s="12"/>
      <c r="AC108" s="12"/>
      <c r="AD108" s="12"/>
      <c r="AE108" s="12"/>
      <c r="AF108" s="12"/>
      <c r="AG108" s="12"/>
      <c r="AH108" s="12"/>
      <c r="AI108" s="12"/>
      <c r="AJ108" s="12"/>
    </row>
    <row r="109" spans="1:36">
      <c r="A109" s="14"/>
      <c r="B109" s="15"/>
      <c r="C109" s="12"/>
      <c r="D109" s="12"/>
      <c r="E109" s="12"/>
      <c r="F109" s="12"/>
      <c r="G109" s="12"/>
      <c r="H109" s="13"/>
      <c r="I109" s="12"/>
      <c r="J109" s="12"/>
      <c r="K109" s="12"/>
      <c r="L109" s="12"/>
      <c r="M109" s="12"/>
      <c r="N109" s="12"/>
      <c r="O109" s="12"/>
      <c r="P109" s="12"/>
      <c r="Q109" s="12"/>
      <c r="R109" s="12"/>
      <c r="S109" s="12"/>
      <c r="T109" s="12"/>
      <c r="U109" s="12"/>
      <c r="V109" s="12"/>
      <c r="W109" s="12"/>
      <c r="X109" s="12"/>
      <c r="Y109" s="12"/>
      <c r="Z109" s="12"/>
      <c r="AA109" s="12"/>
      <c r="AB109" s="12"/>
      <c r="AC109" s="12"/>
      <c r="AD109" s="12"/>
      <c r="AE109" s="12"/>
      <c r="AF109" s="12"/>
      <c r="AG109" s="12"/>
      <c r="AH109" s="12"/>
      <c r="AI109" s="12"/>
      <c r="AJ109" s="12"/>
    </row>
    <row r="110" spans="1:36">
      <c r="A110" s="14"/>
      <c r="B110" s="12"/>
      <c r="C110" s="12"/>
      <c r="D110" s="12"/>
      <c r="E110" s="12"/>
      <c r="F110" s="12"/>
      <c r="G110" s="12"/>
      <c r="H110" s="13"/>
      <c r="I110" s="12"/>
      <c r="J110" s="12"/>
      <c r="K110" s="12"/>
      <c r="L110" s="12"/>
      <c r="M110" s="12"/>
      <c r="N110" s="12"/>
      <c r="O110" s="12"/>
      <c r="P110" s="12"/>
      <c r="Q110" s="12"/>
      <c r="R110" s="12"/>
      <c r="S110" s="12"/>
      <c r="T110" s="12"/>
      <c r="U110" s="12"/>
      <c r="V110" s="12"/>
      <c r="W110" s="12"/>
      <c r="X110" s="12"/>
      <c r="Y110" s="12"/>
      <c r="Z110" s="12"/>
      <c r="AA110" s="12"/>
      <c r="AB110" s="12"/>
      <c r="AC110" s="12"/>
      <c r="AD110" s="12"/>
      <c r="AE110" s="12"/>
      <c r="AF110" s="12"/>
      <c r="AG110" s="12"/>
      <c r="AH110" s="12"/>
      <c r="AI110" s="12"/>
      <c r="AJ110" s="12"/>
    </row>
    <row r="111" spans="1:36">
      <c r="A111" s="14"/>
      <c r="B111" s="12"/>
      <c r="C111" s="12"/>
      <c r="D111" s="12"/>
      <c r="E111" s="12"/>
      <c r="F111" s="12"/>
      <c r="G111" s="12"/>
      <c r="H111" s="13"/>
      <c r="I111" s="12"/>
      <c r="J111" s="12"/>
      <c r="K111" s="12"/>
      <c r="L111" s="12"/>
      <c r="M111" s="12"/>
      <c r="N111" s="12"/>
      <c r="O111" s="12"/>
      <c r="P111" s="12"/>
      <c r="Q111" s="12"/>
      <c r="R111" s="12"/>
      <c r="S111" s="12"/>
      <c r="T111" s="12"/>
      <c r="U111" s="12"/>
      <c r="V111" s="12"/>
      <c r="W111" s="12"/>
      <c r="X111" s="12"/>
      <c r="Y111" s="12"/>
      <c r="Z111" s="12"/>
      <c r="AA111" s="12"/>
      <c r="AB111" s="12"/>
      <c r="AC111" s="12"/>
      <c r="AD111" s="12"/>
      <c r="AE111" s="12"/>
      <c r="AF111" s="12"/>
      <c r="AG111" s="12"/>
      <c r="AH111" s="12"/>
      <c r="AI111" s="12"/>
      <c r="AJ111" s="12"/>
    </row>
    <row r="112" spans="1:36">
      <c r="A112" s="14"/>
      <c r="B112" s="12"/>
      <c r="C112" s="12"/>
      <c r="D112" s="12"/>
      <c r="E112" s="12"/>
      <c r="F112" s="12"/>
      <c r="G112" s="12"/>
      <c r="H112" s="13"/>
      <c r="I112" s="12"/>
      <c r="J112" s="12"/>
      <c r="K112" s="12"/>
      <c r="L112" s="12"/>
      <c r="M112" s="12"/>
      <c r="N112" s="12"/>
      <c r="O112" s="12"/>
      <c r="P112" s="12"/>
      <c r="Q112" s="12"/>
      <c r="R112" s="12"/>
      <c r="S112" s="12"/>
      <c r="T112" s="12"/>
      <c r="U112" s="12"/>
      <c r="V112" s="12"/>
      <c r="W112" s="12"/>
      <c r="X112" s="12"/>
      <c r="Y112" s="12"/>
      <c r="Z112" s="12"/>
      <c r="AA112" s="12"/>
      <c r="AB112" s="12"/>
      <c r="AC112" s="12"/>
      <c r="AD112" s="12"/>
      <c r="AE112" s="12"/>
      <c r="AF112" s="12"/>
      <c r="AG112" s="12"/>
      <c r="AH112" s="12"/>
      <c r="AI112" s="12"/>
      <c r="AJ112" s="12"/>
    </row>
    <row r="113" spans="1:36">
      <c r="A113" s="14"/>
      <c r="B113" s="12"/>
      <c r="C113" s="12"/>
      <c r="D113" s="12"/>
      <c r="E113" s="12"/>
      <c r="F113" s="12"/>
      <c r="G113" s="12"/>
      <c r="H113" s="13"/>
      <c r="I113" s="12"/>
      <c r="J113" s="12"/>
      <c r="K113" s="12"/>
      <c r="L113" s="12"/>
      <c r="M113" s="12"/>
      <c r="N113" s="12"/>
      <c r="O113" s="12"/>
      <c r="P113" s="12"/>
      <c r="Q113" s="12"/>
      <c r="R113" s="12"/>
      <c r="S113" s="12"/>
      <c r="T113" s="12"/>
      <c r="U113" s="12"/>
      <c r="V113" s="12"/>
      <c r="W113" s="12"/>
      <c r="X113" s="12"/>
      <c r="Y113" s="12"/>
      <c r="Z113" s="12"/>
      <c r="AA113" s="12"/>
      <c r="AB113" s="12"/>
      <c r="AC113" s="12"/>
      <c r="AD113" s="12"/>
      <c r="AE113" s="12"/>
      <c r="AF113" s="12"/>
      <c r="AG113" s="12"/>
      <c r="AH113" s="12"/>
      <c r="AI113" s="12"/>
      <c r="AJ113" s="12"/>
    </row>
    <row r="114" spans="1:36">
      <c r="A114" s="690" t="s">
        <v>322</v>
      </c>
      <c r="B114" s="691"/>
      <c r="C114" s="691"/>
      <c r="D114" s="691"/>
      <c r="E114" s="12"/>
      <c r="F114" s="12"/>
      <c r="G114" s="12"/>
      <c r="H114" s="13"/>
      <c r="I114" s="12"/>
      <c r="J114" s="12"/>
      <c r="K114" s="12"/>
      <c r="L114" s="12"/>
      <c r="M114" s="12"/>
      <c r="N114" s="12"/>
      <c r="O114" s="12"/>
      <c r="P114" s="12"/>
      <c r="Q114" s="12"/>
      <c r="R114" s="12"/>
      <c r="S114" s="12"/>
      <c r="T114" s="12"/>
      <c r="U114" s="12"/>
      <c r="V114" s="12"/>
      <c r="W114" s="12"/>
      <c r="X114" s="12"/>
      <c r="Y114" s="12"/>
      <c r="Z114" s="12"/>
      <c r="AA114" s="12"/>
      <c r="AB114" s="12"/>
      <c r="AC114" s="12"/>
      <c r="AD114" s="12"/>
      <c r="AE114" s="12"/>
      <c r="AF114" s="12"/>
      <c r="AG114" s="12"/>
      <c r="AH114" s="12"/>
      <c r="AI114" s="12"/>
      <c r="AJ114" s="12"/>
    </row>
    <row r="115" spans="1:36">
      <c r="A115" s="14"/>
      <c r="B115" s="16"/>
      <c r="C115" s="16" t="s">
        <v>246</v>
      </c>
      <c r="D115" s="16"/>
      <c r="E115" s="12"/>
      <c r="F115" s="12"/>
      <c r="G115" s="12"/>
      <c r="H115" s="13"/>
      <c r="I115" s="12"/>
      <c r="J115" s="12"/>
      <c r="K115" s="12"/>
      <c r="L115" s="12"/>
      <c r="M115" s="12"/>
      <c r="N115" s="12"/>
      <c r="O115" s="12"/>
      <c r="P115" s="12"/>
      <c r="Q115" s="12"/>
      <c r="R115" s="12"/>
      <c r="S115" s="12"/>
      <c r="T115" s="12"/>
      <c r="U115" s="12"/>
      <c r="V115" s="12"/>
      <c r="W115" s="12"/>
      <c r="X115" s="12"/>
      <c r="Y115" s="12"/>
      <c r="Z115" s="12"/>
      <c r="AA115" s="12"/>
      <c r="AB115" s="12"/>
      <c r="AC115" s="12"/>
      <c r="AD115" s="12"/>
      <c r="AE115" s="12"/>
      <c r="AF115" s="12"/>
      <c r="AG115" s="12"/>
      <c r="AH115" s="12"/>
      <c r="AI115" s="12"/>
      <c r="AJ115" s="12"/>
    </row>
    <row r="116" spans="1:36">
      <c r="A116" s="14"/>
      <c r="B116" s="15">
        <f>IF('Data Input'!$J$49&gt;1,1,'Data Input'!$J$49)</f>
        <v>1</v>
      </c>
      <c r="C116" s="12">
        <v>0.03</v>
      </c>
      <c r="D116" s="12">
        <f>2-SUM(B116:C116)</f>
        <v>0.97</v>
      </c>
      <c r="E116" s="12"/>
      <c r="F116" s="12"/>
      <c r="G116" s="12"/>
      <c r="H116" s="13"/>
      <c r="I116" s="12"/>
      <c r="J116" s="12"/>
      <c r="K116" s="12"/>
      <c r="L116" s="12"/>
      <c r="M116" s="12"/>
      <c r="N116" s="12"/>
      <c r="O116" s="12"/>
      <c r="P116" s="12"/>
      <c r="Q116" s="12"/>
      <c r="R116" s="12"/>
      <c r="S116" s="12"/>
      <c r="T116" s="12"/>
      <c r="U116" s="12"/>
      <c r="V116" s="12"/>
      <c r="W116" s="12"/>
      <c r="X116" s="12"/>
      <c r="Y116" s="12"/>
      <c r="Z116" s="12"/>
      <c r="AA116" s="12"/>
      <c r="AB116" s="12"/>
      <c r="AC116" s="12"/>
      <c r="AD116" s="12"/>
      <c r="AE116" s="12"/>
      <c r="AF116" s="12"/>
      <c r="AG116" s="12"/>
      <c r="AH116" s="12"/>
      <c r="AI116" s="12"/>
      <c r="AJ116" s="12"/>
    </row>
    <row r="117" spans="1:36">
      <c r="A117" s="14"/>
      <c r="B117" s="12"/>
      <c r="C117" s="12"/>
      <c r="D117" s="12"/>
      <c r="E117" s="12"/>
      <c r="F117" s="12"/>
      <c r="G117" s="12"/>
      <c r="H117" s="13"/>
      <c r="I117" s="12"/>
      <c r="J117" s="12"/>
      <c r="K117" s="12"/>
      <c r="L117" s="12"/>
      <c r="M117" s="12"/>
      <c r="N117" s="12"/>
      <c r="O117" s="12"/>
      <c r="P117" s="12"/>
      <c r="Q117" s="12"/>
      <c r="R117" s="12"/>
      <c r="S117" s="12"/>
      <c r="T117" s="12"/>
      <c r="U117" s="12"/>
      <c r="V117" s="12"/>
      <c r="W117" s="12"/>
      <c r="X117" s="12"/>
      <c r="Y117" s="12"/>
      <c r="Z117" s="12"/>
      <c r="AA117" s="12"/>
      <c r="AB117" s="12"/>
      <c r="AC117" s="12"/>
      <c r="AD117" s="12"/>
      <c r="AE117" s="12"/>
      <c r="AF117" s="12"/>
      <c r="AG117" s="12"/>
      <c r="AH117" s="12"/>
      <c r="AI117" s="12"/>
      <c r="AJ117" s="12"/>
    </row>
    <row r="118" spans="1:36">
      <c r="A118" s="14"/>
      <c r="B118" s="12"/>
      <c r="C118" s="12"/>
      <c r="D118" s="12"/>
      <c r="E118" s="12"/>
      <c r="F118" s="12"/>
      <c r="G118" s="12"/>
      <c r="H118" s="13"/>
      <c r="I118" s="12"/>
      <c r="J118" s="12"/>
      <c r="K118" s="12"/>
      <c r="L118" s="12"/>
      <c r="M118" s="12"/>
      <c r="N118" s="12"/>
      <c r="O118" s="12"/>
      <c r="P118" s="12"/>
      <c r="Q118" s="12"/>
      <c r="R118" s="12"/>
      <c r="S118" s="12"/>
      <c r="T118" s="12"/>
      <c r="U118" s="12"/>
      <c r="V118" s="12"/>
      <c r="W118" s="12"/>
      <c r="X118" s="12"/>
      <c r="Y118" s="12"/>
      <c r="Z118" s="12"/>
      <c r="AA118" s="12"/>
      <c r="AB118" s="12"/>
      <c r="AC118" s="12"/>
      <c r="AD118" s="12"/>
      <c r="AE118" s="12"/>
      <c r="AF118" s="12"/>
      <c r="AG118" s="12"/>
      <c r="AH118" s="12"/>
      <c r="AI118" s="12"/>
      <c r="AJ118" s="12"/>
    </row>
    <row r="119" spans="1:36">
      <c r="A119" s="14"/>
      <c r="B119" s="12"/>
      <c r="C119" s="12"/>
      <c r="D119" s="12"/>
      <c r="E119" s="12"/>
      <c r="F119" s="12"/>
      <c r="G119" s="12"/>
      <c r="H119" s="13"/>
      <c r="I119" s="12"/>
      <c r="J119" s="12"/>
      <c r="K119" s="12"/>
      <c r="L119" s="12"/>
      <c r="M119" s="12"/>
      <c r="N119" s="12"/>
      <c r="O119" s="12"/>
      <c r="P119" s="12"/>
      <c r="Q119" s="12"/>
      <c r="R119" s="12"/>
      <c r="S119" s="12"/>
      <c r="T119" s="12"/>
      <c r="U119" s="12"/>
      <c r="V119" s="12"/>
      <c r="W119" s="12"/>
      <c r="X119" s="12"/>
      <c r="Y119" s="12"/>
      <c r="Z119" s="12"/>
      <c r="AA119" s="12"/>
      <c r="AB119" s="12"/>
      <c r="AC119" s="12"/>
      <c r="AD119" s="12"/>
      <c r="AE119" s="12"/>
      <c r="AF119" s="12"/>
      <c r="AG119" s="12"/>
      <c r="AH119" s="12"/>
      <c r="AI119" s="12"/>
      <c r="AJ119" s="12"/>
    </row>
    <row r="120" spans="1:36">
      <c r="A120" s="14"/>
      <c r="B120" s="12"/>
      <c r="C120" s="12"/>
      <c r="D120" s="12"/>
      <c r="E120" s="12"/>
      <c r="F120" s="12"/>
      <c r="G120" s="12"/>
      <c r="H120" s="13"/>
      <c r="I120" s="12"/>
      <c r="J120" s="12"/>
      <c r="K120" s="12"/>
      <c r="L120" s="12"/>
      <c r="M120" s="12"/>
      <c r="N120" s="12"/>
      <c r="O120" s="12"/>
      <c r="P120" s="12"/>
      <c r="Q120" s="12"/>
      <c r="R120" s="12"/>
      <c r="S120" s="12"/>
      <c r="T120" s="12"/>
      <c r="U120" s="12"/>
      <c r="V120" s="12"/>
      <c r="W120" s="12"/>
      <c r="X120" s="12"/>
      <c r="Y120" s="12"/>
      <c r="Z120" s="12"/>
      <c r="AA120" s="12"/>
      <c r="AB120" s="12"/>
      <c r="AC120" s="12"/>
      <c r="AD120" s="12"/>
      <c r="AE120" s="12"/>
      <c r="AF120" s="12"/>
      <c r="AG120" s="12"/>
      <c r="AH120" s="12"/>
      <c r="AI120" s="12"/>
      <c r="AJ120" s="12"/>
    </row>
    <row r="121" spans="1:36">
      <c r="A121" s="14"/>
      <c r="B121" s="12"/>
      <c r="C121" s="12"/>
      <c r="D121" s="12"/>
      <c r="E121" s="12"/>
      <c r="F121" s="12"/>
      <c r="G121" s="12"/>
      <c r="H121" s="13"/>
      <c r="I121" s="12"/>
      <c r="J121" s="12"/>
      <c r="K121" s="12"/>
      <c r="L121" s="12"/>
      <c r="M121" s="12"/>
      <c r="N121" s="12"/>
      <c r="O121" s="12"/>
      <c r="P121" s="12"/>
      <c r="Q121" s="12"/>
      <c r="R121" s="12"/>
      <c r="S121" s="12"/>
      <c r="T121" s="12"/>
      <c r="U121" s="12"/>
      <c r="V121" s="12"/>
      <c r="W121" s="12"/>
      <c r="X121" s="12"/>
      <c r="Y121" s="12"/>
      <c r="Z121" s="12"/>
      <c r="AA121" s="12"/>
      <c r="AB121" s="12"/>
      <c r="AC121" s="12"/>
      <c r="AD121" s="12"/>
      <c r="AE121" s="12"/>
      <c r="AF121" s="12"/>
      <c r="AG121" s="12"/>
      <c r="AH121" s="12"/>
      <c r="AI121" s="12"/>
      <c r="AJ121" s="12"/>
    </row>
    <row r="122" spans="1:36" ht="13.5" thickBot="1">
      <c r="A122" s="17"/>
      <c r="B122" s="18"/>
      <c r="C122" s="18"/>
      <c r="D122" s="18"/>
      <c r="E122" s="18"/>
      <c r="F122" s="18"/>
      <c r="G122" s="18"/>
      <c r="H122" s="19"/>
      <c r="I122" s="12"/>
      <c r="J122" s="12"/>
      <c r="K122" s="12"/>
      <c r="L122" s="12"/>
      <c r="M122" s="12"/>
      <c r="N122" s="12"/>
      <c r="O122" s="12"/>
      <c r="P122" s="12"/>
      <c r="Q122" s="12"/>
      <c r="R122" s="12"/>
      <c r="S122" s="12"/>
      <c r="T122" s="12"/>
      <c r="U122" s="12"/>
      <c r="V122" s="12"/>
      <c r="W122" s="12"/>
      <c r="X122" s="12"/>
      <c r="Y122" s="12"/>
      <c r="Z122" s="12"/>
      <c r="AA122" s="12"/>
      <c r="AB122" s="12"/>
      <c r="AC122" s="12"/>
      <c r="AD122" s="12"/>
      <c r="AE122" s="12"/>
      <c r="AF122" s="12"/>
      <c r="AG122" s="12"/>
      <c r="AH122" s="12"/>
      <c r="AI122" s="12"/>
      <c r="AJ122" s="12"/>
    </row>
    <row r="123" spans="1:36">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c r="AA123" s="12"/>
      <c r="AB123" s="12"/>
      <c r="AC123" s="12"/>
      <c r="AD123" s="12"/>
      <c r="AE123" s="12"/>
      <c r="AF123" s="12"/>
      <c r="AG123" s="12"/>
      <c r="AH123" s="12"/>
      <c r="AI123" s="12"/>
      <c r="AJ123" s="12"/>
    </row>
    <row r="124" spans="1:36">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row>
    <row r="125" spans="1:36">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c r="AA125" s="12"/>
      <c r="AB125" s="12"/>
      <c r="AC125" s="12"/>
      <c r="AD125" s="12"/>
      <c r="AE125" s="12"/>
      <c r="AF125" s="12"/>
      <c r="AG125" s="12"/>
      <c r="AH125" s="12"/>
      <c r="AI125" s="12"/>
      <c r="AJ125" s="12"/>
    </row>
    <row r="126" spans="1:36">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c r="AA126" s="12"/>
      <c r="AB126" s="12"/>
      <c r="AC126" s="12"/>
      <c r="AD126" s="12"/>
      <c r="AE126" s="12"/>
      <c r="AF126" s="12"/>
      <c r="AG126" s="12"/>
      <c r="AH126" s="12"/>
      <c r="AI126" s="12"/>
      <c r="AJ126" s="12"/>
    </row>
    <row r="127" spans="1:36">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row>
  </sheetData>
  <sheetProtection algorithmName="SHA-512" hashValue="+W0Y2zlBN01iYazZLxDXaftbExgcyh+36xRL3l3jM0hL0D0OWwPYkinidsXxylbi1LM1nrYZLf+RPlU5hAPcdw==" saltValue="oIPQOkFwtTP/y/DabJxxRg==" spinCount="100000" sheet="1" objects="1" scenarios="1"/>
  <mergeCells count="39">
    <mergeCell ref="A95:D95"/>
    <mergeCell ref="A104:D104"/>
    <mergeCell ref="A114:D114"/>
    <mergeCell ref="A64:H64"/>
    <mergeCell ref="A65:H65"/>
    <mergeCell ref="A66:D66"/>
    <mergeCell ref="A74:D74"/>
    <mergeCell ref="A85:D85"/>
    <mergeCell ref="I36:L36"/>
    <mergeCell ref="I45:L45"/>
    <mergeCell ref="I55:L55"/>
    <mergeCell ref="Q5:X5"/>
    <mergeCell ref="Q6:X6"/>
    <mergeCell ref="Q7:T7"/>
    <mergeCell ref="Q15:T15"/>
    <mergeCell ref="Q26:T26"/>
    <mergeCell ref="Q36:T36"/>
    <mergeCell ref="Q45:T45"/>
    <mergeCell ref="Q55:T55"/>
    <mergeCell ref="I5:P5"/>
    <mergeCell ref="I6:P6"/>
    <mergeCell ref="I7:L7"/>
    <mergeCell ref="I15:L15"/>
    <mergeCell ref="I26:L26"/>
    <mergeCell ref="A5:H5"/>
    <mergeCell ref="A26:D26"/>
    <mergeCell ref="A36:D36"/>
    <mergeCell ref="A45:D45"/>
    <mergeCell ref="A55:D55"/>
    <mergeCell ref="A6:H6"/>
    <mergeCell ref="A7:D7"/>
    <mergeCell ref="A15:D15"/>
    <mergeCell ref="Y5:AD5"/>
    <mergeCell ref="AA15:AB15"/>
    <mergeCell ref="AC7:AD7"/>
    <mergeCell ref="AC6:AH6"/>
    <mergeCell ref="AE7:AF7"/>
    <mergeCell ref="AC15:AF15"/>
    <mergeCell ref="AC10:AF10"/>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30A64-D970-4B26-AE8D-B9967ACF3C51}">
  <dimension ref="A1:AX22"/>
  <sheetViews>
    <sheetView workbookViewId="0">
      <selection activeCell="T4" sqref="T4"/>
    </sheetView>
  </sheetViews>
  <sheetFormatPr defaultRowHeight="12.75"/>
  <cols>
    <col min="2" max="2" width="30" customWidth="1"/>
    <col min="3" max="3" width="59.28515625" customWidth="1"/>
    <col min="4" max="4" width="51" customWidth="1"/>
    <col min="5" max="6" width="21.7109375" customWidth="1"/>
    <col min="7" max="7" width="14.85546875" customWidth="1"/>
    <col min="8" max="8" width="16.5703125" customWidth="1"/>
    <col min="9" max="10" width="21.7109375" customWidth="1"/>
    <col min="11" max="11" width="14.85546875" customWidth="1"/>
    <col min="12" max="12" width="16.5703125" customWidth="1"/>
    <col min="13" max="13" width="20.140625" customWidth="1"/>
    <col min="14" max="14" width="23.85546875" customWidth="1"/>
    <col min="15" max="15" width="20.140625" customWidth="1"/>
    <col min="18" max="18" width="22" customWidth="1"/>
    <col min="22" max="22" width="28.85546875" customWidth="1"/>
    <col min="23" max="23" width="23.42578125" customWidth="1"/>
    <col min="27" max="27" width="22" customWidth="1"/>
    <col min="29" max="29" width="11.5703125" bestFit="1" customWidth="1"/>
    <col min="32" max="32" width="68.5703125" customWidth="1"/>
    <col min="33" max="33" width="16.85546875" customWidth="1"/>
    <col min="35" max="35" width="36" customWidth="1"/>
    <col min="38" max="38" width="40" customWidth="1"/>
    <col min="41" max="41" width="38.42578125" customWidth="1"/>
    <col min="44" max="44" width="45.28515625" customWidth="1"/>
  </cols>
  <sheetData>
    <row r="1" spans="1:50" ht="70.5" customHeight="1">
      <c r="B1" s="8" t="s">
        <v>323</v>
      </c>
      <c r="C1" s="8" t="s">
        <v>324</v>
      </c>
      <c r="D1" s="8" t="s">
        <v>325</v>
      </c>
      <c r="E1" s="8" t="s">
        <v>326</v>
      </c>
      <c r="F1" s="8" t="s">
        <v>327</v>
      </c>
      <c r="G1" s="8" t="s">
        <v>328</v>
      </c>
      <c r="H1" s="8" t="s">
        <v>329</v>
      </c>
      <c r="I1" s="8" t="s">
        <v>330</v>
      </c>
      <c r="J1" s="8" t="s">
        <v>331</v>
      </c>
      <c r="K1" s="8" t="s">
        <v>332</v>
      </c>
      <c r="L1" s="8" t="s">
        <v>333</v>
      </c>
      <c r="M1" s="8" t="s">
        <v>334</v>
      </c>
      <c r="N1" s="8" t="s">
        <v>335</v>
      </c>
      <c r="O1" s="8" t="s">
        <v>336</v>
      </c>
      <c r="P1" s="8" t="s">
        <v>337</v>
      </c>
      <c r="Q1" s="8" t="s">
        <v>338</v>
      </c>
      <c r="R1" s="8" t="s">
        <v>339</v>
      </c>
      <c r="S1" s="8" t="s">
        <v>340</v>
      </c>
      <c r="T1" s="8" t="s">
        <v>337</v>
      </c>
      <c r="U1" s="8" t="s">
        <v>341</v>
      </c>
      <c r="V1" s="8" t="s">
        <v>342</v>
      </c>
      <c r="W1" s="8" t="s">
        <v>343</v>
      </c>
      <c r="X1" s="8" t="s">
        <v>344</v>
      </c>
      <c r="Y1" s="8" t="s">
        <v>345</v>
      </c>
      <c r="Z1" s="8" t="s">
        <v>346</v>
      </c>
      <c r="AA1" s="8" t="s">
        <v>347</v>
      </c>
      <c r="AB1" s="8" t="s">
        <v>348</v>
      </c>
      <c r="AC1" s="8" t="s">
        <v>345</v>
      </c>
      <c r="AD1" s="8" t="s">
        <v>349</v>
      </c>
      <c r="AE1" s="8" t="s">
        <v>350</v>
      </c>
      <c r="AF1" s="8" t="s">
        <v>351</v>
      </c>
      <c r="AG1" s="8" t="s">
        <v>352</v>
      </c>
      <c r="AH1" s="8" t="s">
        <v>353</v>
      </c>
      <c r="AI1" s="8" t="s">
        <v>354</v>
      </c>
      <c r="AJ1" s="8" t="s">
        <v>355</v>
      </c>
      <c r="AK1" s="8" t="s">
        <v>356</v>
      </c>
      <c r="AL1" s="8" t="s">
        <v>357</v>
      </c>
      <c r="AM1" s="8" t="s">
        <v>358</v>
      </c>
      <c r="AN1" s="8" t="s">
        <v>359</v>
      </c>
      <c r="AO1" s="8" t="s">
        <v>360</v>
      </c>
      <c r="AP1" s="8" t="s">
        <v>361</v>
      </c>
      <c r="AQ1" s="8" t="s">
        <v>362</v>
      </c>
      <c r="AR1" s="8" t="s">
        <v>363</v>
      </c>
      <c r="AS1" s="8"/>
      <c r="AT1" s="8"/>
      <c r="AU1" s="8"/>
      <c r="AV1" s="8"/>
      <c r="AW1" s="8"/>
      <c r="AX1" s="8"/>
    </row>
    <row r="2" spans="1:50" ht="80.099999999999994" customHeight="1">
      <c r="A2" s="8" t="s">
        <v>223</v>
      </c>
      <c r="B2" s="11" t="s">
        <v>364</v>
      </c>
      <c r="C2" s="11" t="s">
        <v>365</v>
      </c>
      <c r="D2" s="11" t="s">
        <v>366</v>
      </c>
      <c r="F2" s="8" t="s">
        <v>367</v>
      </c>
      <c r="G2" s="7" t="str">
        <f>'Data Input'!J13</f>
        <v>N/A</v>
      </c>
      <c r="H2" s="4" t="str" cm="1">
        <f t="array" aca="1" ref="H2" ca="1">IF(G2&gt;=0.9,INDEX(Reference!$AA$29:$AA$38, RANDBETWEEN(1,ROWS(Reference!$AA$29:$AA$38)),1),(IF(G2&gt;=0.75,INDEX(Reference!$AA$41:$AA$48, RANDBETWEEN(1,ROWS(Reference!$AA$41:$AA$48)),1),INDEX(Reference!$AA$51:$AA$55, RANDBETWEEN(1,ROWS(Reference!$AA$51:$AA$55)),1))))</f>
        <v xml:space="preserve">It all paid off! </v>
      </c>
      <c r="J2" s="8" t="s">
        <v>368</v>
      </c>
      <c r="K2" s="7" t="str">
        <f>'Data Input'!J14</f>
        <v>N/A</v>
      </c>
      <c r="L2" s="4" t="str" cm="1">
        <f t="array" aca="1" ref="L2" ca="1">IF(K2&gt;=0.9,INDEX(Reference!$AA$29:$AA$38, RANDBETWEEN(1,ROWS(Reference!$AA$29:$AA$38)),1),(IF(K2&gt;=0.75,INDEX(Reference!$AA$41:$AA$48, RANDBETWEEN(1,ROWS(Reference!$AA$41:$AA$48)),1),INDEX(Reference!$AA$51:$AA$55, RANDBETWEEN(1,ROWS(Reference!$AA$51:$AA$55)),1))))</f>
        <v>Let's Go!</v>
      </c>
      <c r="M2" s="11" t="s">
        <v>369</v>
      </c>
      <c r="O2" t="s">
        <v>370</v>
      </c>
      <c r="P2" s="58" t="str">
        <f>IFERROR('Data Input'!H16,"N/A")</f>
        <v>N/A</v>
      </c>
      <c r="Q2" s="4" t="str" cm="1">
        <f t="array" aca="1" ref="Q2" ca="1">IF(P2&gt;=0.2,INDEX(Reference!$AA$29:$AA$38, RANDBETWEEN(1,ROWS(Reference!$AA$29:$AA$38)),1),(IF(P2&gt;=0.15,INDEX(Reference!$AA$41:$AA$48, RANDBETWEEN(1,ROWS(Reference!$AA$41:$AA$48)),1),INDEX(Reference!$AA$51:$AA$55, RANDBETWEEN(1,ROWS(Reference!$AA$51:$AA$55)),1))))</f>
        <v>GOAT status 🐐</v>
      </c>
      <c r="S2" s="11" t="s">
        <v>371</v>
      </c>
      <c r="T2" s="58" t="str">
        <f>IFERROR('Data Input'!I16,"N/A")</f>
        <v>N/A</v>
      </c>
      <c r="U2" s="4" t="str" cm="1">
        <f t="array" aca="1" ref="U2" ca="1">IF(T2&gt;=0.2,INDEX(Reference!$AA$29:$AA$38, RANDBETWEEN(1,ROWS(Reference!$AA$29:$AA$38)),1),(IF(T2&gt;=0.15,INDEX(Reference!$AA$41:$AA$48, RANDBETWEEN(1,ROWS(Reference!$AA$41:$AA$48)),1),INDEX(Reference!$AA$51:$AA$55, RANDBETWEEN(1,ROWS(Reference!$AA$51:$AA$55)),1))))</f>
        <v>Let's Go!</v>
      </c>
      <c r="V2" s="11" t="s">
        <v>372</v>
      </c>
      <c r="X2" s="4" t="s">
        <v>370</v>
      </c>
      <c r="Y2" t="str">
        <f>IFERROR('Data Input'!H15/100,"N/A")</f>
        <v>N/A</v>
      </c>
      <c r="Z2" s="4" t="str" cm="1">
        <f t="array" aca="1" ref="Z2" ca="1">IF(Y2&gt;=0.75,INDEX(Reference!$AA$29:$AA$38, RANDBETWEEN(1,ROWS(Reference!$AA$29:$AA$38)),1),(IF(Y2&gt;=0.66,INDEX(Reference!$AA$41:$AA$48, RANDBETWEEN(1,ROWS(Reference!$AA$41:$AA$48)),1),INDEX(Reference!$AA$51:$AA$55, RANDBETWEEN(1,ROWS(Reference!$AA$51:$AA$55)),1))))</f>
        <v>Way to lock in!</v>
      </c>
      <c r="AB2" s="11" t="s">
        <v>371</v>
      </c>
      <c r="AC2" s="58" t="str">
        <f>IFERROR('Data Input'!I15/100, "N/A")</f>
        <v>N/A</v>
      </c>
      <c r="AD2" s="4" t="str" cm="1">
        <f t="array" aca="1" ref="AD2" ca="1">IF(AC2&gt;=0.75,INDEX(Reference!$AA$29:$AA$38, RANDBETWEEN(1,ROWS(Reference!$AA$29:$AA$38)),1),(IF(AC2&gt;=0.66,INDEX(Reference!$AA$41:$AA$48, RANDBETWEEN(1,ROWS(Reference!$AA$41:$AA$48)),1),INDEX(Reference!$AA$51:$AA$55, RANDBETWEEN(1,ROWS(Reference!$AA$51:$AA$55)),1))))</f>
        <v>Absolute problem 😤</v>
      </c>
      <c r="AE2" s="11" t="s">
        <v>39</v>
      </c>
      <c r="AF2" s="11" t="s">
        <v>373</v>
      </c>
      <c r="AG2" s="11" t="s">
        <v>374</v>
      </c>
      <c r="AH2" s="127" t="str">
        <f>'Data Input'!J58</f>
        <v>N/A</v>
      </c>
      <c r="AI2" s="11" t="s">
        <v>375</v>
      </c>
      <c r="AJ2" s="11" t="s">
        <v>376</v>
      </c>
      <c r="AK2" s="128" t="str">
        <f>'Data Input'!J59</f>
        <v>N/A</v>
      </c>
      <c r="AL2" s="11" t="s">
        <v>377</v>
      </c>
      <c r="AM2" s="11" t="s">
        <v>378</v>
      </c>
      <c r="AN2" s="127" t="str">
        <f>'Data Input'!J60</f>
        <v>N/A</v>
      </c>
      <c r="AO2" s="11" t="s">
        <v>379</v>
      </c>
      <c r="AP2" s="11" t="s">
        <v>22</v>
      </c>
      <c r="AQ2" s="11" t="s">
        <v>22</v>
      </c>
      <c r="AR2" s="11" t="s">
        <v>22</v>
      </c>
      <c r="AS2" s="4"/>
      <c r="AT2" s="4"/>
      <c r="AU2" s="4"/>
      <c r="AV2" s="4"/>
      <c r="AW2" s="4"/>
      <c r="AX2" s="4"/>
    </row>
    <row r="3" spans="1:50" ht="80.099999999999994" customHeight="1">
      <c r="A3" s="8" t="s">
        <v>226</v>
      </c>
      <c r="B3" s="11" t="s">
        <v>364</v>
      </c>
      <c r="C3" s="11" t="s">
        <v>380</v>
      </c>
      <c r="D3" s="11" t="s">
        <v>366</v>
      </c>
      <c r="F3" s="8" t="s">
        <v>367</v>
      </c>
      <c r="G3" s="7" t="str">
        <f>'Data Input'!J13</f>
        <v>N/A</v>
      </c>
      <c r="H3" s="4" t="str" cm="1">
        <f t="array" aca="1" ref="H3" ca="1">IF(G3&gt;=0.9,INDEX(Reference!$AA$29:$AA$38, RANDBETWEEN(1,ROWS(Reference!$AA$29:$AA$38)),1),(IF(G3&gt;=0.75,INDEX(Reference!$AA$41:$AA$48, RANDBETWEEN(1,ROWS(Reference!$AA$41:$AA$48)),1),INDEX(Reference!$AA$51:$AA$55, RANDBETWEEN(1,ROWS(Reference!$AA$51:$AA$55)),1))))</f>
        <v>Crushed it!</v>
      </c>
      <c r="J3" s="8" t="s">
        <v>368</v>
      </c>
      <c r="K3" s="7" t="str">
        <f>'Data Input'!J13</f>
        <v>N/A</v>
      </c>
      <c r="L3" s="4" t="str" cm="1">
        <f t="array" aca="1" ref="L3" ca="1">IF(K3&gt;=0.9,INDEX(Reference!$AA$29:$AA$38, RANDBETWEEN(1,ROWS(Reference!$AA$29:$AA$38)),1),(IF(K3&gt;=0.75,INDEX(Reference!$AA$41:$AA$48, RANDBETWEEN(1,ROWS(Reference!$AA$41:$AA$48)),1),INDEX(Reference!$AA$51:$AA$55, RANDBETWEEN(1,ROWS(Reference!$AA$51:$AA$55)),1))))</f>
        <v>You did it!</v>
      </c>
      <c r="M3" s="11" t="s">
        <v>369</v>
      </c>
      <c r="O3" t="s">
        <v>370</v>
      </c>
      <c r="P3" s="58" t="str">
        <f>IFERROR('Data Input'!H16,"N/A")</f>
        <v>N/A</v>
      </c>
      <c r="Q3" s="4" t="str" cm="1">
        <f t="array" aca="1" ref="Q3" ca="1">IF(P3&gt;=0.2,INDEX(Reference!$AA$29:$AA$38, RANDBETWEEN(1,ROWS(Reference!$AA$29:$AA$38)),1),(IF(P3&gt;=0.15,INDEX(Reference!$AA$41:$AA$48, RANDBETWEEN(1,ROWS(Reference!$AA$41:$AA$48)),1),INDEX(Reference!$AA$51:$AA$55, RANDBETWEEN(1,ROWS(Reference!$AA$51:$AA$55)),1))))</f>
        <v>Way to lock in!</v>
      </c>
      <c r="S3" s="11" t="s">
        <v>371</v>
      </c>
      <c r="T3" s="58" t="str">
        <f>IFERROR('Data Input'!I16,"N/A")</f>
        <v>N/A</v>
      </c>
      <c r="U3" s="4" t="str" cm="1">
        <f t="array" aca="1" ref="U3" ca="1">IF(T3&gt;=0.2,INDEX(Reference!$AA$29:$AA$38, RANDBETWEEN(1,ROWS(Reference!$AA$29:$AA$38)),1),(IF(T3&gt;=0.15,INDEX(Reference!$AA$41:$AA$48, RANDBETWEEN(1,ROWS(Reference!$AA$41:$AA$48)),1),INDEX(Reference!$AA$51:$AA$55, RANDBETWEEN(1,ROWS(Reference!$AA$51:$AA$55)),1))))</f>
        <v>Let's Go!</v>
      </c>
      <c r="V3" s="11" t="s">
        <v>381</v>
      </c>
      <c r="X3" s="4" t="s">
        <v>370</v>
      </c>
      <c r="Y3" t="str">
        <f>IFERROR('Data Input'!H15/100, "N/A")</f>
        <v>N/A</v>
      </c>
      <c r="Z3" s="4" t="str" cm="1">
        <f t="array" aca="1" ref="Z3" ca="1">IF(Y3&gt;=0.75,INDEX(Reference!$AA$29:$AA$38, RANDBETWEEN(1,ROWS(Reference!$AA$29:$AA$38)),1),(IF(Y3&gt;=0.66,INDEX(Reference!$AA$41:$AA$48, RANDBETWEEN(1,ROWS(Reference!$AA$41:$AA$48)),1),INDEX(Reference!$AA$51:$AA$55, RANDBETWEEN(1,ROWS(Reference!$AA$51:$AA$55)),1))))</f>
        <v>Way to lock in!</v>
      </c>
      <c r="AB3" s="11" t="s">
        <v>371</v>
      </c>
      <c r="AC3" s="58" t="str">
        <f>IFERROR('Data Input'!I15/100,"N/A")</f>
        <v>N/A</v>
      </c>
      <c r="AD3" s="4" t="str" cm="1">
        <f t="array" aca="1" ref="AD3" ca="1">IF(AC3&gt;=0.75,INDEX(Reference!$AA$29:$AA$38, RANDBETWEEN(1,ROWS(Reference!$AA$29:$AA$38)),1),(IF(AC3&gt;=0.66,INDEX(Reference!$AA$41:$AA$48, RANDBETWEEN(1,ROWS(Reference!$AA$41:$AA$48)),1),INDEX(Reference!$AA$51:$AA$55, RANDBETWEEN(1,ROWS(Reference!$AA$51:$AA$55)),1))))</f>
        <v>Crushed it!</v>
      </c>
      <c r="AE3" s="11" t="s">
        <v>39</v>
      </c>
      <c r="AF3" s="11" t="s">
        <v>373</v>
      </c>
      <c r="AG3" s="11" t="s">
        <v>374</v>
      </c>
      <c r="AH3" s="127" t="str">
        <f>'Data Input'!J58</f>
        <v>N/A</v>
      </c>
      <c r="AI3" s="11" t="s">
        <v>375</v>
      </c>
      <c r="AJ3" s="11" t="s">
        <v>376</v>
      </c>
      <c r="AK3" s="128" t="str">
        <f>'Data Input'!J59</f>
        <v>N/A</v>
      </c>
      <c r="AL3" s="11" t="s">
        <v>377</v>
      </c>
      <c r="AM3" s="11" t="s">
        <v>378</v>
      </c>
      <c r="AN3" s="127" t="str">
        <f>'Data Input'!J60</f>
        <v>N/A</v>
      </c>
      <c r="AO3" s="11" t="s">
        <v>379</v>
      </c>
      <c r="AP3" s="11" t="s">
        <v>22</v>
      </c>
      <c r="AQ3" s="11" t="s">
        <v>22</v>
      </c>
      <c r="AR3" s="11" t="s">
        <v>22</v>
      </c>
      <c r="AS3" s="4"/>
      <c r="AT3" s="4"/>
      <c r="AU3" s="4"/>
      <c r="AV3" s="4"/>
      <c r="AW3" s="4"/>
      <c r="AX3" s="4"/>
    </row>
    <row r="4" spans="1:50" ht="80.099999999999994" customHeight="1">
      <c r="A4" s="8" t="s">
        <v>228</v>
      </c>
      <c r="B4" s="11" t="s">
        <v>63</v>
      </c>
      <c r="C4" s="11" t="s">
        <v>382</v>
      </c>
      <c r="D4" s="11" t="s">
        <v>383</v>
      </c>
      <c r="F4" s="8" t="s">
        <v>241</v>
      </c>
      <c r="G4" s="7" t="str">
        <f>'Data Input'!J22</f>
        <v>N/A</v>
      </c>
      <c r="H4" s="4" t="str" cm="1">
        <f t="array" aca="1" ref="H4" ca="1">IF(G4&gt;=0.9,INDEX(Reference!$AA$29:$AA$38, RANDBETWEEN(1,ROWS(Reference!$AA$29:$AA$38)),1),(IF(G4&gt;=0.75,INDEX(Reference!$AA$41:$AA$48, RANDBETWEEN(1,ROWS(Reference!$AA$41:$AA$48)),1),INDEX(Reference!$AA$51:$AA$55, RANDBETWEEN(1,ROWS(Reference!$AA$51:$AA$55)),1))))</f>
        <v>You're an animal!</v>
      </c>
      <c r="J4" s="8" t="s">
        <v>264</v>
      </c>
      <c r="K4" s="7" t="str">
        <f>'Data Input'!J23</f>
        <v>N/A</v>
      </c>
      <c r="L4" s="4" t="str" cm="1">
        <f t="array" aca="1" ref="L4" ca="1">IF(K4&gt;=0.9,INDEX(Reference!$AA$29:$AA$38, RANDBETWEEN(1,ROWS(Reference!$AA$29:$AA$38)),1),(IF(K4&gt;=0.75,INDEX(Reference!$AA$41:$AA$48, RANDBETWEEN(1,ROWS(Reference!$AA$41:$AA$48)),1),INDEX(Reference!$AA$51:$AA$55, RANDBETWEEN(1,ROWS(Reference!$AA$51:$AA$55)),1))))</f>
        <v>Absolute problem 😤</v>
      </c>
      <c r="M4" s="11" t="s">
        <v>384</v>
      </c>
      <c r="O4" s="11" t="s">
        <v>385</v>
      </c>
      <c r="P4" s="58" t="str">
        <f>'Data Input'!J26</f>
        <v>N/A</v>
      </c>
      <c r="Q4" s="4" t="str" cm="1">
        <f t="array" aca="1" ref="Q4" ca="1">IF(P4&gt;=0.9,INDEX(Reference!$AA$29:$AA$38, RANDBETWEEN(1,ROWS(Reference!$AA$29:$AA$38)),1),(IF(P4&gt;=0.75,INDEX(Reference!$AA$41:$AA$48, RANDBETWEEN(1,ROWS(Reference!$AA$41:$AA$48)),1),INDEX(Reference!$AA$51:$AA$55, RANDBETWEEN(1,ROWS(Reference!$AA$51:$AA$55)),1))))</f>
        <v>GOAT status 🐐</v>
      </c>
      <c r="S4" s="11" t="s">
        <v>367</v>
      </c>
      <c r="T4" s="58" t="str">
        <f>'Data Input'!J24</f>
        <v>N/A</v>
      </c>
      <c r="U4" s="4" t="str" cm="1">
        <f t="array" aca="1" ref="U4" ca="1">IF(T4&gt;=0.9,INDEX(Reference!$AA$29:$AA$38, RANDBETWEEN(1,ROWS(Reference!$AA$29:$AA$38)),1),(IF(T4&gt;=0.75,INDEX(Reference!$AA$41:$AA$48, RANDBETWEEN(1,ROWS(Reference!$AA$41:$AA$48)),1),INDEX(Reference!$AA$51:$AA$55, RANDBETWEEN(1,ROWS(Reference!$AA$51:$AA$55)),1))))</f>
        <v>Crushed it!</v>
      </c>
      <c r="V4" s="11" t="s">
        <v>386</v>
      </c>
      <c r="X4" s="11" t="s">
        <v>387</v>
      </c>
      <c r="Y4">
        <f>('Data Input'!H27/100)</f>
        <v>0</v>
      </c>
      <c r="Z4" s="4" t="str" cm="1">
        <f t="array" aca="1" ref="Z4" ca="1">IF(Y4&gt;=0.8,INDEX(Reference!$AA$29:$AA$38, RANDBETWEEN(1,ROWS(Reference!$AA$29:$AA$38)),1),(IF(Y4&gt;=0.6,INDEX(Reference!$AA$41:$AA$48, RANDBETWEEN(1,ROWS(Reference!$AA$41:$AA$48)),1),INDEX(Reference!$AA$51:$AA$55, RANDBETWEEN(1,ROWS(Reference!$AA$51:$AA$55)),1))))</f>
        <v>Time to lock in.</v>
      </c>
      <c r="AB4" s="11" t="s">
        <v>388</v>
      </c>
      <c r="AC4" s="58">
        <f>'Data Input'!I27/100</f>
        <v>0</v>
      </c>
      <c r="AD4" s="4" t="str" cm="1">
        <f t="array" aca="1" ref="AD4" ca="1">IF(AC4&gt;=0.8,INDEX(Reference!$AA$29:$AA$38, RANDBETWEEN(1,ROWS(Reference!$AA$29:$AA$38)),1),(IF(AC4&gt;=0.6,INDEX(Reference!$AA$41:$AA$48, RANDBETWEEN(1,ROWS(Reference!$AA$41:$AA$48)),1),INDEX(Reference!$AA$51:$AA$55, RANDBETWEEN(1,ROWS(Reference!$AA$51:$AA$55)),1))))</f>
        <v>Time to lock in.</v>
      </c>
      <c r="AE4" s="11" t="s">
        <v>389</v>
      </c>
      <c r="AF4" s="11" t="s">
        <v>390</v>
      </c>
      <c r="AG4" s="11" t="s">
        <v>391</v>
      </c>
      <c r="AH4" s="129" t="str">
        <f>'Data Input'!E58</f>
        <v>N/A</v>
      </c>
      <c r="AI4" s="11" t="s">
        <v>392</v>
      </c>
      <c r="AJ4" s="11" t="s">
        <v>393</v>
      </c>
      <c r="AK4" s="11" t="str">
        <f>'Data Input'!$E$59</f>
        <v>N/A</v>
      </c>
      <c r="AL4" s="11" t="s">
        <v>394</v>
      </c>
      <c r="AM4" s="11" t="s">
        <v>395</v>
      </c>
      <c r="AN4" s="4" t="str">
        <f>'Data Input'!$E$60</f>
        <v>N/A</v>
      </c>
      <c r="AO4" s="11" t="s">
        <v>396</v>
      </c>
      <c r="AP4" s="11" t="s">
        <v>397</v>
      </c>
      <c r="AQ4" t="str">
        <f>'Data Input'!$E$57</f>
        <v>N/A</v>
      </c>
      <c r="AR4" s="11" t="s">
        <v>398</v>
      </c>
      <c r="AS4" s="4"/>
      <c r="AT4" s="4"/>
      <c r="AX4" s="4"/>
    </row>
    <row r="5" spans="1:50" s="4" customFormat="1" ht="80.099999999999994" customHeight="1">
      <c r="A5" s="11" t="s">
        <v>15</v>
      </c>
      <c r="B5" s="11" t="s">
        <v>399</v>
      </c>
      <c r="C5" s="11" t="s">
        <v>400</v>
      </c>
      <c r="D5" s="11" t="s">
        <v>401</v>
      </c>
      <c r="F5" s="11" t="s">
        <v>239</v>
      </c>
      <c r="G5" s="6" t="str">
        <f>'Data Input'!J36</f>
        <v>N/A</v>
      </c>
      <c r="H5" s="4" t="str" cm="1">
        <f t="array" aca="1" ref="H5" ca="1">IF(G5&gt;=0.9,INDEX(Reference!$AA$29:$AA$38, RANDBETWEEN(1,ROWS(Reference!$AA$29:$AA$38)),1),(IF(G5&gt;=0.75,INDEX(Reference!$AA$41:$AA$48, RANDBETWEEN(1,ROWS(Reference!$AA$41:$AA$48)),1),INDEX(Reference!$AA$51:$AA$55, RANDBETWEEN(1,ROWS(Reference!$AA$51:$AA$55)),1))))</f>
        <v>Let's Go!</v>
      </c>
      <c r="J5" s="11" t="s">
        <v>262</v>
      </c>
      <c r="K5" s="6" t="str">
        <f>'Data Input'!J37</f>
        <v>N/A</v>
      </c>
      <c r="L5" s="4" t="str" cm="1">
        <f t="array" aca="1" ref="L5" ca="1">IF(K5&gt;=0.9,INDEX(Reference!$AA$29:$AA$38, RANDBETWEEN(1,ROWS(Reference!$AA$29:$AA$38)),1),(IF(K5&gt;=0.75,INDEX(Reference!$AA$41:$AA$48, RANDBETWEEN(1,ROWS(Reference!$AA$41:$AA$48)),1),INDEX(Reference!$AA$51:$AA$55, RANDBETWEEN(1,ROWS(Reference!$AA$51:$AA$55)),1))))</f>
        <v>Crushed it!</v>
      </c>
      <c r="M5" s="11" t="s">
        <v>402</v>
      </c>
      <c r="O5" s="4" t="s">
        <v>403</v>
      </c>
      <c r="P5" s="6" t="str">
        <f>'Data Input'!H41</f>
        <v>N/A</v>
      </c>
      <c r="Q5" s="4" t="str" cm="1">
        <f t="array" aca="1" ref="Q5" ca="1">IF(P5&gt;=0.9,INDEX(Reference!$AA$29:$AA$38, RANDBETWEEN(1,ROWS(Reference!$AA$29:$AA$38)),1),(IF(P5&gt;=0.75,INDEX(Reference!$AA$41:$AA$48, RANDBETWEEN(1,ROWS(Reference!$AA$41:$AA$48)),1),INDEX(Reference!$AA$51:$AA$55, RANDBETWEEN(1,ROWS(Reference!$AA$51:$AA$55)),1))))</f>
        <v>You did it!</v>
      </c>
      <c r="S5" s="11" t="s">
        <v>404</v>
      </c>
      <c r="T5" s="6" t="str">
        <f>'Data Input'!I41</f>
        <v>N/A</v>
      </c>
      <c r="U5" s="4" t="str" cm="1">
        <f t="array" aca="1" ref="U5" ca="1">IF(T5&gt;=0.9,INDEX(Reference!$AA$29:$AA$38, RANDBETWEEN(1,ROWS(Reference!$AA$29:$AA$38)),1),(IF(T5&gt;=0.75,INDEX(Reference!$AA$41:$AA$48, RANDBETWEEN(1,ROWS(Reference!$AA$41:$AA$48)),1),INDEX(Reference!$AA$51:$AA$55, RANDBETWEEN(1,ROWS(Reference!$AA$51:$AA$55)),1))))</f>
        <v>Unsto🅿️🅿️able!</v>
      </c>
      <c r="V5" s="11" t="s">
        <v>405</v>
      </c>
      <c r="X5" s="11" t="s">
        <v>387</v>
      </c>
      <c r="Y5" s="59" t="str">
        <f>'Data Input'!H42</f>
        <v>N/A</v>
      </c>
      <c r="Z5" s="4" t="str" cm="1">
        <f t="array" aca="1" ref="Z5" ca="1">IF(Y5&gt;=0.35,INDEX(Reference!$AA$29:$AA$38, RANDBETWEEN(1,ROWS(Reference!$AA$29:$AA$38)),1),(IF(Y5&gt;=0.25,INDEX(Reference!$AA$41:$AA$48, RANDBETWEEN(1,ROWS(Reference!$AA$41:$AA$48)),1),INDEX(Reference!$AA$51:$AA$55, RANDBETWEEN(1,ROWS(Reference!$AA$51:$AA$55)),1))))</f>
        <v>Way to lock in!</v>
      </c>
      <c r="AB5" s="11" t="s">
        <v>388</v>
      </c>
      <c r="AC5" s="59" t="str">
        <f>'Data Input'!I42</f>
        <v>N/A</v>
      </c>
      <c r="AD5" s="4" t="str" cm="1">
        <f t="array" aca="1" ref="AD5" ca="1">IF(AC5&gt;=0.35,INDEX(Reference!$AA$29:$AA$38, RANDBETWEEN(1,ROWS(Reference!$AA$29:$AA$38)),1),(IF(AC5&gt;=0.25,INDEX(Reference!$AA$41:$AA$48, RANDBETWEEN(1,ROWS(Reference!$AA$41:$AA$48)),1),INDEX(Reference!$AA$51:$AA$55, RANDBETWEEN(1,ROWS(Reference!$AA$51:$AA$55)),1))))</f>
        <v>GOAT status 🐐</v>
      </c>
      <c r="AE5" s="11" t="s">
        <v>389</v>
      </c>
      <c r="AF5" s="11" t="s">
        <v>390</v>
      </c>
      <c r="AG5" s="11" t="s">
        <v>391</v>
      </c>
      <c r="AH5" s="130" t="str">
        <f>'Data Input'!E58</f>
        <v>N/A</v>
      </c>
      <c r="AI5" s="11" t="s">
        <v>392</v>
      </c>
      <c r="AJ5" s="11" t="s">
        <v>393</v>
      </c>
      <c r="AK5" s="11" t="str">
        <f>'Data Input'!$E$59</f>
        <v>N/A</v>
      </c>
      <c r="AL5" s="11" t="s">
        <v>394</v>
      </c>
      <c r="AM5" s="11" t="s">
        <v>395</v>
      </c>
      <c r="AN5" s="4" t="str">
        <f>'Data Input'!$E$60</f>
        <v>N/A</v>
      </c>
      <c r="AO5" s="11" t="s">
        <v>396</v>
      </c>
      <c r="AP5" s="11" t="s">
        <v>397</v>
      </c>
      <c r="AQ5" t="str">
        <f>'Data Input'!$E$57</f>
        <v>N/A</v>
      </c>
      <c r="AR5" s="11" t="s">
        <v>398</v>
      </c>
    </row>
    <row r="6" spans="1:50" ht="80.099999999999994" customHeight="1">
      <c r="A6" s="8" t="s">
        <v>233</v>
      </c>
      <c r="B6" s="11" t="s">
        <v>406</v>
      </c>
      <c r="C6" s="11" t="s">
        <v>407</v>
      </c>
      <c r="D6" s="11" t="s">
        <v>408</v>
      </c>
      <c r="F6" s="8" t="s">
        <v>409</v>
      </c>
      <c r="G6" s="10" t="str">
        <f>'Data Input'!J47</f>
        <v>N/A</v>
      </c>
      <c r="H6" s="4" t="str" cm="1">
        <f t="array" aca="1" ref="H6" ca="1">IF(G6&gt;=0.9,INDEX(Reference!$AA$29:$AA$38, RANDBETWEEN(1,ROWS(Reference!$AA$29:$AA$38)),1),(IF(G6&gt;=0.75,INDEX(Reference!$AA$41:$AA$48, RANDBETWEEN(1,ROWS(Reference!$AA$41:$AA$48)),1),INDEX(Reference!$AA$51:$AA$55, RANDBETWEEN(1,ROWS(Reference!$AA$51:$AA$55)),1))))</f>
        <v>Crushed it!</v>
      </c>
      <c r="J6" s="8" t="s">
        <v>410</v>
      </c>
      <c r="K6" s="10" t="str">
        <f>'Data Input'!J50</f>
        <v>N/A</v>
      </c>
      <c r="L6" s="4" t="str" cm="1">
        <f t="array" aca="1" ref="L6" ca="1">IF(K6&gt;=0.9,INDEX(Reference!$AA$29:$AA$38, RANDBETWEEN(1,ROWS(Reference!$AA$29:$AA$38)),1),(IF(K6&gt;=0.75,INDEX(Reference!$AA$41:$AA$48, RANDBETWEEN(1,ROWS(Reference!$AA$41:$AA$48)),1),INDEX(Reference!$AA$51:$AA$55, RANDBETWEEN(1,ROWS(Reference!$AA$51:$AA$55)),1))))</f>
        <v>Crushed it!</v>
      </c>
      <c r="M6" s="11" t="s">
        <v>411</v>
      </c>
      <c r="O6" s="11" t="s">
        <v>412</v>
      </c>
      <c r="P6" s="10" t="str">
        <f>'Data Input'!J51</f>
        <v>N/A</v>
      </c>
      <c r="Q6" s="4" t="str" cm="1">
        <f t="array" aca="1" ref="Q6" ca="1">IF(P6&gt;=0.9,INDEX(Reference!$AA$29:$AA$38, RANDBETWEEN(1,ROWS(Reference!$AA$29:$AA$38)),1),(IF(P6&gt;=0.75,INDEX(Reference!$AA$41:$AA$48, RANDBETWEEN(1,ROWS(Reference!$AA$41:$AA$48)),1),INDEX(Reference!$AA$51:$AA$55, RANDBETWEEN(1,ROWS(Reference!$AA$51:$AA$55)),1))))</f>
        <v>Let's Go!</v>
      </c>
      <c r="S6" s="11" t="s">
        <v>413</v>
      </c>
      <c r="T6" s="10" t="str">
        <f>'Data Input'!J52</f>
        <v>N/A</v>
      </c>
      <c r="U6" s="4" t="str" cm="1">
        <f t="array" aca="1" ref="U6" ca="1">IF(T6&gt;=0.9,INDEX(Reference!$AA$29:$AA$38, RANDBETWEEN(1,ROWS(Reference!$AA$29:$AA$38)),1),(IF(T6&gt;=0.75,INDEX(Reference!$AA$41:$AA$48, RANDBETWEEN(1,ROWS(Reference!$AA$41:$AA$48)),1),INDEX(Reference!$AA$51:$AA$55, RANDBETWEEN(1,ROWS(Reference!$AA$51:$AA$55)),1))))</f>
        <v>You're an animal!</v>
      </c>
      <c r="V6" s="11" t="s">
        <v>414</v>
      </c>
      <c r="X6" s="11" t="s">
        <v>415</v>
      </c>
      <c r="Y6" s="10" t="str">
        <f>'Data Input'!J48</f>
        <v>N/A</v>
      </c>
      <c r="Z6" s="4" t="str" cm="1">
        <f t="array" aca="1" ref="Z6" ca="1">IF(Y6&gt;=0.9,INDEX(Reference!$AA$29:$AA$38, RANDBETWEEN(1,ROWS(Reference!$AA$29:$AA$38)),1),(IF(Y6&gt;=0.75,INDEX(Reference!$AA$41:$AA$48, RANDBETWEEN(1,ROWS(Reference!$AA$41:$AA$48)),1),INDEX(Reference!$AA$51:$AA$55, RANDBETWEEN(1,ROWS(Reference!$AA$51:$AA$55)),1))))</f>
        <v>You did it!</v>
      </c>
      <c r="AB6" s="11" t="s">
        <v>416</v>
      </c>
      <c r="AC6" s="10" t="str">
        <f>'Data Input'!J49</f>
        <v>N/A</v>
      </c>
      <c r="AD6" s="4" t="str" cm="1">
        <f t="array" aca="1" ref="AD6" ca="1">IF(AC6&gt;=0.9,INDEX(Reference!$AA$29:$AA$38, RANDBETWEEN(1,ROWS(Reference!$AA$29:$AA$38)),1),(IF(AC6&gt;=0.75,INDEX(Reference!$AA$41:$AA$48, RANDBETWEEN(1,ROWS(Reference!$AA$41:$AA$48)),1),INDEX(Reference!$AA$51:$AA$55, RANDBETWEEN(1,ROWS(Reference!$AA$51:$AA$55)),1))))</f>
        <v>You did it!</v>
      </c>
      <c r="AE6" s="11" t="s">
        <v>389</v>
      </c>
      <c r="AF6" s="11" t="s">
        <v>390</v>
      </c>
      <c r="AG6" s="11" t="s">
        <v>391</v>
      </c>
      <c r="AH6" s="129" t="str">
        <f>'Data Input'!E58</f>
        <v>N/A</v>
      </c>
      <c r="AI6" s="11" t="s">
        <v>392</v>
      </c>
      <c r="AJ6" s="11" t="s">
        <v>393</v>
      </c>
      <c r="AK6" s="11" t="str">
        <f>'Data Input'!$E$59</f>
        <v>N/A</v>
      </c>
      <c r="AL6" s="11" t="s">
        <v>417</v>
      </c>
      <c r="AM6" s="11" t="s">
        <v>395</v>
      </c>
      <c r="AN6" s="4" t="str">
        <f>'Data Input'!$E$60</f>
        <v>N/A</v>
      </c>
      <c r="AO6" s="11" t="s">
        <v>396</v>
      </c>
      <c r="AP6" s="11" t="s">
        <v>397</v>
      </c>
      <c r="AQ6" t="str">
        <f>'Data Input'!$E$57</f>
        <v>N/A</v>
      </c>
      <c r="AR6" s="11" t="s">
        <v>398</v>
      </c>
      <c r="AS6" s="4"/>
      <c r="AT6" s="4"/>
      <c r="AX6" s="4"/>
    </row>
    <row r="7" spans="1:50" ht="80.099999999999994" customHeight="1">
      <c r="A7" s="8"/>
      <c r="B7" s="8"/>
    </row>
    <row r="8" spans="1:50" ht="80.099999999999994" customHeight="1"/>
    <row r="9" spans="1:50" ht="80.099999999999994" customHeight="1"/>
    <row r="10" spans="1:50" ht="80.099999999999994" customHeight="1"/>
    <row r="11" spans="1:50" ht="80.099999999999994" customHeight="1"/>
    <row r="12" spans="1:50" ht="80.099999999999994" customHeight="1"/>
    <row r="13" spans="1:50" ht="80.099999999999994" customHeight="1"/>
    <row r="14" spans="1:50" ht="80.099999999999994" customHeight="1"/>
    <row r="15" spans="1:50" ht="80.099999999999994" customHeight="1"/>
    <row r="16" spans="1:50" ht="80.099999999999994" customHeight="1"/>
    <row r="17" ht="80.099999999999994" customHeight="1"/>
    <row r="18" ht="80.099999999999994" customHeight="1"/>
    <row r="19" ht="80.099999999999994" customHeight="1"/>
    <row r="20" ht="80.099999999999994" customHeight="1"/>
    <row r="21" ht="80.099999999999994" customHeight="1"/>
    <row r="22" ht="80.099999999999994" customHeight="1"/>
  </sheetData>
  <sheetProtection algorithmName="SHA-512" hashValue="6J0bmwbSqmHYs6R2gBEpqWJcVsAhDfgeERZ1BHcqGHd/HQ9owBsyhdFTNmjtzyU0Uc6dHwJmu6cGeSmJHcDHnQ==" saltValue="pqXEuKGlgmNBk1S1NPJd6Q==" spinCount="100000" sheet="1" objects="1" scenarios="1"/>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Vien Vu</dc:creator>
  <cp:keywords/>
  <dc:description/>
  <cp:lastModifiedBy>Vien Vu</cp:lastModifiedBy>
  <cp:revision/>
  <dcterms:created xsi:type="dcterms:W3CDTF">2020-06-23T15:56:47Z</dcterms:created>
  <dcterms:modified xsi:type="dcterms:W3CDTF">2024-11-04T17:14:34Z</dcterms:modified>
  <cp:category/>
  <cp:contentStatus/>
</cp:coreProperties>
</file>